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autoCompressPictures="0"/>
  <mc:AlternateContent xmlns:mc="http://schemas.openxmlformats.org/markup-compatibility/2006">
    <mc:Choice Requires="x15">
      <x15ac:absPath xmlns:x15ac="http://schemas.microsoft.com/office/spreadsheetml/2010/11/ac" url="C:\Users\mina_\Desktop\"/>
    </mc:Choice>
  </mc:AlternateContent>
  <xr:revisionPtr revIDLastSave="0" documentId="13_ncr:1_{AA8885FA-17F7-4C37-A6AD-3D58B83B8438}" xr6:coauthVersionLast="45" xr6:coauthVersionMax="45" xr10:uidLastSave="{00000000-0000-0000-0000-000000000000}"/>
  <workbookProtection workbookPassword="E31B" lockStructure="1"/>
  <bookViews>
    <workbookView xWindow="2760" yWindow="195" windowWidth="17010" windowHeight="1009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5" i="5"/>
  <c r="C5" i="5"/>
  <c r="B14" i="5"/>
  <c r="C14" i="5"/>
  <c r="B6" i="5"/>
  <c r="C6"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c r="B56" i="6"/>
  <c r="G56" i="6" s="1"/>
  <c r="B55" i="6"/>
  <c r="G55" i="6" s="1"/>
  <c r="B54" i="6"/>
  <c r="G54" i="6" s="1"/>
  <c r="B53" i="6"/>
  <c r="G53" i="6" s="1"/>
  <c r="B50" i="6"/>
  <c r="G50" i="6" s="1"/>
  <c r="H14" i="6"/>
  <c r="H61" i="4"/>
  <c r="B86" i="4"/>
  <c r="F23" i="6"/>
  <c r="B23" i="6" l="1"/>
  <c r="B38" i="6" s="1"/>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B28" i="6" l="1"/>
  <c r="B43" i="6"/>
  <c r="B48" i="6"/>
  <c r="C13" i="6"/>
  <c r="C12" i="6"/>
  <c r="C11" i="6"/>
  <c r="C10" i="6"/>
  <c r="C8" i="6"/>
  <c r="C4" i="6"/>
  <c r="C7" i="6"/>
  <c r="C5" i="6"/>
  <c r="B3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41" i="6" s="1"/>
  <c r="B30" i="6"/>
  <c r="G30" i="6" s="1"/>
  <c r="B41" i="6"/>
  <c r="G41" i="6" s="1"/>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64" i="6" s="1"/>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36" i="6" l="1"/>
  <c r="H36" i="6"/>
  <c r="C36" i="6" s="1"/>
  <c r="F63" i="6"/>
  <c r="H25" i="6"/>
  <c r="C25" i="6" s="1"/>
  <c r="H41"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H40" i="6" s="1"/>
  <c r="D40" i="6" s="1"/>
  <c r="F35" i="6"/>
  <c r="H35" i="6" s="1"/>
  <c r="F30" i="6"/>
  <c r="H3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2" i="6" l="1"/>
  <c r="D25"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H64" i="6" s="1"/>
  <c r="D64" i="6" s="1"/>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X57" i="5" l="1"/>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<sst xmlns="http://schemas.openxmlformats.org/spreadsheetml/2006/main" count="21629" uniqueCount="15506">
  <si>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</si>
  <si>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</si>
  <si>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</si>
  <si>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</si>
  <si>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</si>
  <si>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</si>
  <si>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</si>
  <si>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</si>
  <si>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</si>
  <si>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</si>
  <si>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</si>
  <si>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</si>
  <si>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</si>
  <si>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</si>
  <si>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</si>
  <si>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</si>
  <si>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</si>
  <si>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</si>
  <si>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</si>
  <si>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</si>
  <si>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</si>
  <si>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</si>
  <si>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</si>
  <si>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</si>
  <si>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</si>
  <si>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</si>
  <si>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</si>
  <si>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</si>
  <si>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</si>
  <si>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</si>
  <si>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</si>
  <si>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</si>
  <si>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</si>
  <si>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</si>
  <si>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</si>
  <si>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</si>
  <si>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</si>
  <si>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</si>
  <si>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</si>
  <si>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</si>
  <si>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</si>
  <si>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</si>
  <si>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</si>
  <si>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</si>
  <si>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</si>
  <si>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</si>
  <si>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</si>
  <si>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</si>
  <si>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</si>
  <si>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</si>
  <si>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</si>
  <si>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</si>
  <si>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</si>
  <si>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</si>
  <si>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</si>
  <si>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</si>
  <si>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</si>
  <si>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</si>
  <si>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</si>
  <si>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</si>
  <si>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</si>
  <si>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</si>
  <si>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</si>
  <si>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</si>
  <si>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</si>
  <si>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</si>
  <si>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</si>
  <si>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</si>
  <si>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</si>
  <si>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</si>
  <si>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</si>
  <si>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</si>
  <si>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</si>
  <si>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</si>
  <si>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</si>
  <si>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</si>
  <si>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</si>
  <si>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</si>
  <si>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</si>
  <si>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</si>
  <si>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</si>
  <si>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</si>
  <si>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</si>
  <si>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</si>
  <si>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</si>
  <si>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</si>
  <si>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</si>
  <si>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</si>
  <si>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</si>
  <si>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</si>
  <si>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</si>
  <si>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</si>
  <si>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</si>
  <si>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</si>
  <si>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</si>
  <si>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</si>
  <si>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</si>
  <si>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</si>
  <si>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</si>
  <si>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</si>
  <si>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</si>
  <si>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</si>
  <si>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</si>
  <si>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</si>
  <si>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</si>
  <si>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</si>
  <si>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</si>
  <si>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</si>
  <si>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</si>
  <si>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</si>
  <si>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</si>
  <si>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</si>
  <si>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</si>
  <si>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</si>
  <si>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</si>
  <si>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</si>
  <si>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</si>
  <si>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</si>
  <si>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</si>
  <si>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</si>
  <si>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</si>
  <si>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</si>
  <si>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</si>
  <si>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</si>
  <si>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</si>
  <si>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</si>
  <si>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</si>
  <si>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</si>
  <si>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</si>
  <si>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</si>
  <si>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</si>
  <si>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</si>
  <si>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</si>
  <si>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</si>
  <si>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</si>
  <si>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</si>
  <si>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</si>
  <si>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</si>
  <si>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</si>
  <si>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</si>
  <si>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</si>
  <si>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</si>
  <si>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</si>
  <si>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</si>
  <si>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</si>
  <si>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</si>
  <si>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</si>
  <si>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</si>
  <si>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</si>
  <si>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</si>
  <si>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</si>
  <si>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</si>
  <si>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</si>
  <si>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</si>
  <si>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</si>
  <si>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</si>
  <si>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</si>
  <si>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</si>
  <si>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</si>
  <si>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</si>
  <si>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</si>
  <si>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</si>
  <si>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</si>
  <si>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</si>
  <si>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</si>
  <si>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</si>
  <si>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</si>
  <si>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</si>
  <si>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</si>
  <si>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</si>
  <si>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</si>
  <si>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</si>
  <si>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</si>
  <si>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</si>
  <si>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</si>
  <si>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</si>
  <si>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</si>
  <si>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</si>
  <si>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</si>
  <si>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</si>
  <si>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</si>
  <si>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</si>
  <si>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</si>
  <si>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</si>
  <si>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</si>
  <si>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</si>
  <si>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</si>
  <si>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</si>
  <si>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</si>
  <si>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</si>
  <si>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</si>
  <si>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</si>
  <si>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</si>
  <si>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</si>
  <si>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</si>
  <si>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</si>
  <si>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</si>
  <si>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</si>
  <si>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</si>
  <si>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</si>
  <si>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</si>
  <si>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</si>
  <si>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</si>
  <si>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</si>
  <si>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</si>
  <si>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</si>
  <si>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</si>
  <si>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</si>
  <si>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</si>
  <si>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</si>
  <si>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</si>
  <si>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</si>
  <si>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</si>
  <si>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</si>
  <si>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</si>
  <si>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</si>
  <si>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</si>
  <si>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</si>
  <si>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</si>
  <si>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</si>
  <si>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</si>
  <si>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</si>
  <si>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</si>
  <si>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</si>
  <si>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</si>
  <si>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</si>
  <si>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</si>
  <si>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</si>
  <si>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</si>
  <si>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</si>
  <si>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</si>
  <si>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</si>
  <si>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</si>
  <si>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</si>
  <si>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</si>
  <si>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</si>
  <si>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</si>
  <si>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</si>
  <si>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</si>
  <si>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</si>
  <si>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</si>
  <si>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</si>
  <si>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</si>
  <si>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</si>
  <si>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</si>
  <si>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</si>
  <si>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</si>
  <si>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</si>
  <si>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</si>
  <si>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</si>
  <si>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</si>
  <si>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</si>
  <si>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</si>
  <si>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</si>
  <si>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</si>
  <si>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</si>
  <si>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</si>
  <si>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</si>
  <si>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</si>
  <si>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</si>
  <si>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</si>
  <si>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</si>
  <si>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</si>
  <si>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</si>
  <si>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</si>
  <si>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</si>
  <si>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</si>
  <si>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</si>
  <si>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</si>
  <si>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</si>
  <si>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</si>
  <si>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</si>
  <si>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</si>
  <si>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</si>
  <si>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</si>
  <si>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</si>
  <si>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</si>
  <si>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</si>
  <si>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</si>
  <si>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</si>
  <si>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</si>
  <si>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</si>
  <si>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</si>
  <si>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</si>
  <si>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</si>
  <si>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</si>
  <si>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</si>
  <si>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</si>
  <si>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</si>
  <si>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</si>
  <si>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</si>
  <si>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</si>
  <si>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</si>
  <si>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</si>
  <si>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</si>
  <si>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</si>
  <si>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</si>
  <si>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</si>
  <si>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</si>
  <si>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</si>
  <si>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</si>
  <si>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</si>
  <si>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</si>
  <si>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</si>
  <si>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</si>
  <si>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</si>
  <si>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</si>
  <si>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</si>
  <si>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</si>
  <si>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</si>
  <si>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</si>
  <si>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</si>
  <si>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</si>
  <si>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</si>
  <si>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</si>
  <si>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</si>
  <si>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</si>
  <si>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</si>
  <si>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</si>
  <si>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</si>
  <si>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</si>
  <si>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</si>
  <si>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</si>
  <si>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</si>
  <si>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</si>
  <si>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</si>
  <si>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</si>
  <si>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</si>
  <si>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</si>
  <si>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</si>
  <si>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</si>
  <si>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</si>
  <si>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</si>
  <si>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</si>
  <si>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</si>
  <si>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</si>
  <si>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</si>
  <si>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</si>
  <si>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</si>
  <si>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</si>
  <si>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</si>
  <si>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</si>
  <si>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</si>
  <si>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</si>
  <si>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</si>
  <si>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</si>
  <si>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</si>
  <si>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</si>
  <si>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</si>
  <si>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</si>
  <si>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</si>
  <si>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</si>
  <si>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</si>
  <si>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</si>
  <si>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</si>
  <si>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</si>
  <si>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</si>
  <si>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</si>
  <si>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</si>
  <si>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</si>
  <si>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</si>
  <si>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</si>
  <si>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</si>
  <si>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</si>
  <si>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</si>
  <si>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</si>
  <si>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</si>
  <si>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</si>
  <si>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</si>
  <si>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</si>
  <si>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</si>
  <si>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</si>
  <si>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</si>
  <si>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</si>
  <si>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</si>
  <si>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</si>
  <si>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</si>
  <si>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</si>
  <si>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</si>
  <si>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</si>
  <si>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</si>
  <si>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</si>
  <si>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</si>
  <si>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</si>
  <si>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</si>
  <si>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</si>
  <si>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</si>
  <si>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</si>
  <si>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</si>
  <si>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</si>
  <si>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</si>
  <si>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</si>
  <si>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</si>
  <si>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</si>
  <si>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</si>
  <si>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</si>
  <si>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</si>
  <si>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</si>
  <si>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</si>
  <si>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</si>
  <si>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</si>
  <si>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</si>
  <si>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</si>
  <si>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</si>
  <si>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</si>
  <si>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</si>
  <si>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</si>
  <si>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</si>
  <si>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</si>
  <si>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</si>
  <si>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</si>
  <si>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</si>
  <si>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</si>
  <si>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</si>
  <si>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</si>
  <si>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</si>
  <si>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</si>
  <si>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</si>
  <si>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</si>
  <si>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</si>
  <si>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</si>
  <si>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</si>
  <si>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</si>
  <si>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</si>
  <si>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</si>
  <si>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</si>
  <si>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</si>
  <si>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</si>
  <si>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</si>
  <si>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</si>
  <si>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</si>
  <si>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</si>
  <si>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</si>
  <si>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</si>
  <si>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</si>
  <si>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</si>
  <si>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</si>
  <si>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</si>
  <si>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</si>
  <si>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</si>
  <si>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</si>
  <si>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</si>
  <si>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</si>
  <si>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</si>
  <si>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</si>
  <si>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</si>
  <si>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</si>
  <si>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</si>
  <si>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</si>
  <si>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</si>
  <si>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</si>
  <si>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</si>
  <si>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</si>
  <si>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</si>
  <si>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</si>
  <si>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</si>
  <si>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</si>
  <si>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</si>
  <si>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</si>
  <si>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</si>
  <si>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</si>
  <si>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</si>
  <si>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</si>
  <si>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</si>
  <si>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</si>
  <si>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</si>
  <si>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</si>
  <si>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</si>
  <si>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</si>
  <si>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</si>
  <si>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</si>
  <si>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</si>
  <si>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</si>
  <si>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</si>
  <si>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</si>
  <si>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</si>
  <si>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</si>
  <si>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</si>
  <si>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</si>
  <si>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</si>
  <si>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</si>
  <si>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</si>
  <si>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</si>
  <si>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</si>
  <si>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</si>
  <si>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</si>
  <si>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</si>
  <si>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</si>
  <si>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</si>
  <si>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</si>
  <si>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</si>
  <si>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</si>
  <si>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</si>
  <si>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</si>
  <si>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</si>
  <si>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</si>
  <si>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</si>
  <si>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</si>
  <si>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</si>
  <si>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</si>
  <si>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</si>
  <si>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</si>
  <si>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</si>
  <si>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</si>
  <si>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</si>
  <si>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</si>
  <si>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</si>
  <si>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</si>
  <si>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</si>
  <si>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</si>
  <si>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</si>
  <si>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</si>
  <si>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</si>
  <si>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</si>
  <si>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</si>
  <si>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</si>
  <si>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</si>
  <si>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</si>
  <si>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</si>
  <si>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</si>
  <si>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</si>
  <si>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</si>
  <si>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</si>
  <si>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</si>
  <si>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</si>
  <si>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</si>
  <si>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</si>
  <si>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</si>
  <si>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</si>
  <si>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</si>
  <si>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</si>
  <si>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</si>
  <si>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</si>
  <si>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</si>
  <si>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</si>
  <si>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</si>
  <si>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</si>
  <si>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</si>
  <si>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</si>
  <si>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</si>
  <si>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</si>
  <si>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</si>
  <si>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</si>
  <si>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</si>
  <si>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</si>
  <si>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</si>
  <si>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</si>
  <si>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</si>
  <si>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</si>
  <si>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</si>
  <si>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</si>
  <si>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</si>
  <si>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</si>
  <si>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</si>
  <si>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</si>
  <si>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</si>
  <si>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</si>
  <si>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</si>
  <si>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</si>
  <si>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</si>
  <si>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</si>
  <si>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</si>
  <si>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</si>
  <si>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</si>
  <si>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</si>
  <si>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</si>
  <si>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</si>
  <si>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</si>
  <si>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</si>
  <si>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</si>
  <si>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</si>
  <si>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</si>
  <si>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</si>
  <si>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</si>
  <si>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</si>
  <si>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</si>
  <si>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</si>
  <si>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</si>
  <si>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</si>
  <si>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</si>
  <si>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</si>
  <si>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</si>
  <si>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</si>
  <si>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</si>
  <si>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</si>
  <si>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</si>
  <si>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</si>
  <si>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</si>
  <si>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</si>
  <si>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</si>
  <si>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</si>
  <si>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</si>
  <si>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</si>
  <si>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</si>
  <si>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</si>
  <si>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</si>
  <si>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</si>
  <si>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</si>
  <si>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</si>
  <si>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</si>
  <si>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</si>
  <si>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</si>
  <si>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</si>
  <si>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</si>
  <si>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</si>
  <si>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</si>
  <si>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</si>
  <si>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</si>
  <si>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</si>
  <si>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</si>
  <si>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</si>
  <si>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</si>
  <si>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</si>
  <si>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</si>
  <si>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</si>
  <si>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</si>
  <si>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</si>
  <si>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</si>
  <si>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</si>
  <si>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</si>
  <si>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</si>
  <si>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</si>
  <si>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</si>
  <si>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</si>
  <si>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</si>
  <si>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</si>
  <si>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</si>
  <si>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</si>
  <si>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</si>
  <si>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</si>
  <si>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</si>
  <si>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</si>
  <si>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</si>
  <si>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</si>
  <si>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</si>
  <si>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</si>
  <si>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</si>
  <si>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</si>
  <si>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</si>
  <si>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</si>
  <si>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</si>
  <si>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</si>
  <si>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</si>
  <si>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</si>
  <si>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</si>
  <si>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</si>
  <si>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</si>
  <si>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</si>
  <si>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</si>
  <si>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</si>
  <si>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</si>
  <si>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</si>
  <si>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</si>
  <si>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</si>
  <si>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</si>
  <si>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</si>
  <si>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</si>
  <si>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</si>
  <si>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</si>
  <si>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</si>
  <si>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</si>
  <si>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</si>
  <si>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</si>
  <si>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</si>
  <si>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</si>
  <si>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</si>
  <si>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</si>
  <si>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</si>
  <si>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</si>
  <si>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</si>
  <si>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</si>
  <si>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</si>
  <si>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</si>
  <si>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</si>
  <si>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</si>
  <si>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</si>
  <si>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</si>
  <si>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</si>
  <si>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</si>
  <si>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</si>
  <si>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</si>
  <si>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</si>
  <si>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</si>
  <si>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</si>
  <si>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</si>
  <si>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</si>
  <si>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</si>
  <si>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</si>
  <si>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</si>
  <si>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</si>
  <si>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</si>
  <si>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</si>
  <si>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</si>
  <si>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</si>
  <si>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</si>
  <si>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</si>
  <si>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</si>
  <si>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</si>
  <si>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</si>
  <si>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</si>
  <si>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</si>
  <si>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</si>
  <si>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</si>
  <si>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</si>
  <si>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</si>
  <si>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</si>
  <si>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</si>
  <si>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</si>
  <si>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</si>
  <si>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</si>
  <si>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</si>
  <si>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</si>
  <si>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</si>
  <si>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</si>
  <si>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</si>
  <si>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</si>
  <si>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</si>
  <si>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</si>
  <si>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</si>
  <si>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</si>
  <si>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</si>
  <si>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</si>
  <si>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</si>
  <si>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</si>
  <si>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</si>
  <si>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</si>
  <si>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</si>
  <si>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</si>
  <si>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</si>
  <si>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</si>
  <si>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</si>
  <si>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</si>
  <si>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</si>
  <si>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</si>
  <si>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</si>
  <si>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</si>
  <si>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</si>
  <si>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</si>
  <si>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</si>
  <si>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</si>
  <si>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</si>
  <si>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</si>
  <si>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</si>
  <si>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</si>
  <si>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</si>
  <si>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</si>
  <si>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</si>
  <si>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</si>
  <si>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</si>
  <si>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</si>
  <si>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</si>
  <si>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</si>
  <si>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</si>
  <si>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</si>
  <si>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</si>
  <si>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</si>
  <si>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</si>
  <si>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</si>
  <si>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</si>
  <si>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</si>
  <si>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</si>
  <si>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</si>
  <si>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</si>
  <si>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</si>
  <si>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</si>
  <si>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</si>
  <si>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</si>
  <si>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</si>
  <si>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</si>
  <si>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</si>
  <si>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</si>
  <si>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</si>
  <si>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</si>
  <si>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</si>
  <si>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</si>
  <si>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</si>
  <si>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</si>
  <si>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</si>
  <si>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</si>
  <si>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</si>
  <si>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</si>
  <si>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</si>
  <si>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</si>
  <si>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</si>
  <si>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</si>
  <si>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</si>
  <si>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</si>
  <si>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</si>
  <si>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</si>
  <si>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</si>
  <si>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</si>
  <si>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</si>
  <si>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</si>
  <si>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</si>
  <si>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</si>
  <si>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</si>
  <si>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</si>
  <si>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</si>
  <si>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</si>
  <si>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</si>
  <si>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</si>
  <si>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</si>
  <si>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</si>
  <si>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</si>
  <si>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</si>
  <si>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</si>
  <si>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</si>
  <si>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</si>
  <si>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</si>
  <si>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</si>
  <si>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</si>
  <si>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</si>
  <si>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</si>
  <si>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</si>
  <si>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</si>
  <si>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</si>
  <si>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</si>
  <si>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</si>
  <si>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</si>
  <si>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</si>
  <si>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</si>
  <si>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</si>
  <si>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</si>
  <si>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</si>
  <si>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</si>
  <si>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</si>
  <si>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</si>
  <si>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</si>
  <si>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</si>
  <si>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</si>
  <si>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</si>
  <si>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</si>
  <si>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</si>
  <si>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</si>
  <si>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</si>
  <si>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</si>
  <si>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</si>
  <si>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</si>
  <si>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</si>
  <si>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</si>
  <si>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</si>
  <si>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</si>
  <si>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</si>
  <si>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</si>
  <si>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</si>
  <si>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</si>
  <si>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</si>
  <si>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</si>
  <si>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</si>
  <si>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</si>
  <si>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</si>
  <si>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</si>
  <si>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</si>
  <si>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</si>
  <si>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</si>
  <si>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</si>
  <si>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</si>
  <si>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</si>
  <si>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</si>
  <si>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</si>
  <si>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</si>
  <si>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</si>
  <si>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</si>
  <si>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</si>
  <si>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</si>
  <si>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</si>
  <si>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</si>
  <si>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</si>
  <si>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</si>
  <si>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</si>
  <si>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</si>
  <si>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</si>
  <si>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</si>
  <si>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</si>
  <si>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</si>
  <si>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</si>
  <si>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</si>
  <si>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</si>
  <si>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</si>
  <si>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</si>
  <si>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</si>
  <si>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</si>
  <si>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</si>
  <si>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</si>
  <si>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</si>
  <si>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</si>
  <si>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</si>
  <si>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</si>
  <si>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</si>
  <si>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</si>
  <si>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</si>
  <si>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</si>
  <si>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</si>
  <si>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</si>
  <si>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</si>
  <si>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</si>
  <si>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</si>
  <si>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</si>
  <si>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</si>
  <si>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</si>
  <si>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</si>
  <si>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</si>
  <si>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</si>
  <si>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</si>
  <si>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</si>
  <si>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</si>
  <si>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</si>
  <si>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</si>
  <si>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</si>
  <si>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</si>
  <si>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</si>
  <si>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</si>
  <si>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</si>
  <si>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</si>
  <si>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</si>
  <si>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</si>
  <si>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</si>
  <si>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</si>
  <si>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</si>
  <si>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</si>
  <si>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</si>
  <si>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</si>
  <si>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</si>
  <si>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</si>
  <si>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</si>
  <si>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</si>
  <si>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</si>
  <si>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</si>
  <si>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</si>
  <si>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</si>
  <si>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</si>
  <si>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</si>
  <si>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</si>
  <si>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</si>
  <si>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</si>
  <si>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</si>
  <si>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</si>
  <si>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</si>
  <si>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</si>
  <si>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</si>
  <si>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</si>
  <si>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</si>
  <si>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</si>
  <si>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</si>
  <si>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</si>
  <si>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</si>
  <si>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</si>
  <si>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</si>
  <si>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</si>
  <si>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</si>
  <si>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</si>
  <si>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</si>
  <si>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</si>
  <si>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</si>
  <si>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</si>
  <si>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</si>
  <si>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</si>
  <si>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</si>
  <si>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</si>
  <si>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</si>
  <si>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</si>
  <si>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</si>
  <si>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</si>
  <si>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</si>
  <si>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</si>
  <si>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</si>
  <si>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</si>
  <si>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</si>
  <si>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</si>
  <si>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</si>
  <si>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</si>
  <si>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</si>
  <si>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</si>
  <si>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</si>
  <si>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</si>
  <si>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</si>
  <si>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</si>
  <si>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</si>
  <si>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</si>
  <si>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</si>
  <si>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</si>
  <si>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</si>
  <si>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</si>
  <si>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</si>
  <si>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</si>
  <si>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</si>
  <si>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</si>
  <si>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</si>
  <si>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</si>
  <si>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</si>
  <si>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</si>
  <si>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</si>
  <si>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</si>
  <si>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</si>
  <si>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</si>
  <si>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</si>
  <si>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</si>
  <si>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</si>
  <si>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</si>
  <si>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</si>
  <si>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</si>
  <si>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</si>
  <si>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</si>
  <si>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</si>
  <si>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</si>
  <si>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</si>
  <si>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</si>
  <si>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</si>
  <si>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</si>
  <si>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</si>
  <si>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</si>
  <si>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</si>
  <si>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</si>
  <si>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</si>
  <si>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</si>
  <si>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</si>
  <si>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</si>
  <si>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</si>
  <si>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</si>
  <si>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</si>
  <si>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</si>
  <si>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</si>
  <si>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</si>
  <si>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</si>
  <si>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</si>
  <si>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</si>
  <si>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</si>
  <si>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</si>
  <si>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</si>
  <si>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</si>
  <si>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</si>
  <si>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</si>
  <si>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</si>
  <si>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</si>
  <si>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</si>
  <si>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</si>
  <si>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</si>
  <si>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</si>
  <si>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</si>
  <si>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</si>
  <si>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</si>
  <si>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</si>
  <si>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</si>
  <si>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</si>
  <si>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</si>
  <si>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</si>
  <si>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</si>
  <si>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</si>
  <si>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</si>
  <si>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</si>
  <si>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</si>
  <si>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</si>
  <si>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</si>
  <si>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</si>
  <si>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</si>
  <si>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</si>
  <si>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</si>
  <si>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</si>
  <si>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</si>
  <si>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</si>
  <si>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</si>
  <si>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</si>
  <si>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</si>
  <si>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</si>
  <si>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</si>
  <si>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</si>
  <si>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</si>
  <si>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</si>
  <si>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</si>
  <si>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</si>
  <si>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</si>
  <si>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</si>
  <si>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</si>
  <si>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</si>
  <si>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</si>
  <si>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</si>
  <si>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</si>
  <si>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</si>
  <si>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</si>
  <si>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</si>
  <si>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</si>
  <si>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</si>
  <si>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</si>
  <si>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</si>
  <si>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</si>
  <si>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</si>
  <si>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</si>
  <si>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</si>
  <si>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</si>
  <si>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</si>
  <si>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</si>
  <si>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</si>
  <si>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</si>
  <si>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</si>
  <si>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</si>
  <si>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</si>
  <si>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</si>
  <si>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</si>
  <si>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</si>
  <si>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</si>
  <si>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</si>
  <si>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</si>
  <si>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</si>
  <si>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</si>
  <si>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</si>
  <si>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</si>
  <si>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</si>
  <si>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</si>
  <si>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</si>
  <si>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</si>
  <si>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</si>
  <si>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</si>
  <si>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</si>
  <si>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</si>
  <si>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</si>
  <si>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</si>
  <si>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</si>
  <si>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</si>
  <si>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</si>
  <si>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</si>
  <si>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</si>
  <si>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</si>
  <si>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</si>
  <si>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</si>
  <si>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</si>
  <si>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</si>
  <si>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</si>
  <si>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</si>
  <si>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</si>
  <si>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</si>
  <si>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</si>
  <si>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</si>
  <si>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</si>
  <si>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</si>
  <si>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</si>
  <si>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</si>
  <si>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</si>
  <si>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</si>
  <si>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</si>
  <si>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</si>
  <si>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</si>
  <si>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</si>
  <si>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</si>
  <si>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</si>
  <si>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</si>
  <si>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</si>
  <si>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</si>
  <si>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</si>
  <si>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</si>
  <si>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</si>
  <si>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</si>
  <si>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</si>
  <si>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</si>
  <si>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</si>
  <si>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</si>
  <si>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</si>
  <si>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</si>
  <si>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</si>
  <si>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</si>
  <si>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</si>
  <si>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</si>
  <si>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</si>
  <si>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</si>
  <si>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</si>
  <si>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</si>
  <si>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</si>
  <si>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</si>
  <si>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</si>
  <si>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</si>
  <si>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</si>
  <si>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</si>
  <si>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</si>
  <si>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</si>
  <si>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</si>
  <si>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</si>
  <si>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</si>
  <si>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</si>
  <si>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</si>
  <si>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</si>
  <si>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</si>
  <si>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</si>
  <si>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</si>
  <si>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</si>
  <si>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</si>
  <si>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</si>
  <si>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</si>
  <si>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</si>
  <si>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</si>
  <si>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</si>
  <si>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</si>
  <si>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</si>
  <si>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</si>
  <si>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</si>
  <si>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</si>
  <si>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</si>
  <si>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</si>
  <si>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</si>
  <si>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</si>
  <si>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</si>
  <si>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</si>
  <si>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</si>
  <si>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</si>
  <si>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</si>
  <si>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</si>
  <si>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</si>
  <si>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</si>
  <si>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</si>
  <si>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</si>
  <si>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</si>
  <si>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</si>
  <si>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</si>
  <si>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</si>
  <si>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</si>
  <si>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</si>
  <si>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</si>
  <si>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</si>
  <si>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</si>
  <si>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</si>
  <si>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</si>
  <si>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</si>
  <si>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</si>
  <si>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</si>
  <si>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</si>
  <si>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</si>
  <si>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</si>
  <si>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</si>
  <si>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</si>
  <si>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</si>
  <si>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</si>
  <si>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</si>
  <si>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</si>
  <si>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</si>
  <si>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</si>
  <si>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</si>
  <si>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</si>
  <si>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</si>
  <si>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</si>
  <si>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</si>
  <si>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</si>
  <si>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</si>
  <si>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</si>
  <si>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</si>
  <si>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</si>
  <si>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</si>
  <si>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</si>
  <si>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</si>
  <si>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</si>
  <si>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</si>
  <si>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</si>
  <si>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</si>
  <si>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</si>
  <si>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</si>
  <si>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</si>
  <si>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</si>
  <si>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</si>
  <si>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</si>
  <si>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</si>
  <si>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</si>
  <si>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</si>
  <si>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</si>
  <si>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</si>
  <si>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</si>
  <si>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</si>
  <si>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</si>
  <si>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</si>
  <si>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</si>
  <si>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</si>
  <si>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</si>
  <si>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</si>
  <si>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</si>
  <si>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</si>
  <si>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</si>
  <si>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</si>
  <si>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</si>
  <si>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</si>
  <si>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</si>
  <si>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</si>
  <si>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</si>
  <si>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</si>
  <si>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</si>
  <si>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</si>
  <si>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</si>
  <si>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</si>
  <si>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</si>
  <si>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</si>
  <si>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</si>
  <si>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</si>
  <si>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</si>
  <si>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</si>
  <si>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</si>
  <si>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</si>
  <si>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</si>
  <si>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</si>
  <si>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</si>
  <si>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</si>
  <si>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</si>
  <si>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</si>
  <si>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</si>
  <si>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</si>
  <si>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</si>
  <si>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</si>
  <si>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</si>
  <si>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</si>
  <si>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</si>
  <si>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</si>
  <si>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</si>
  <si>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</si>
  <si>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</si>
  <si>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</si>
  <si>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</si>
  <si>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</si>
  <si>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</si>
  <si>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</si>
  <si>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</si>
  <si>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</si>
  <si>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</si>
  <si>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</si>
  <si>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</si>
  <si>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</si>
  <si>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</si>
  <si>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</si>
  <si>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</si>
  <si>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</si>
  <si>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</si>
  <si>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</si>
  <si>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</si>
  <si>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</si>
  <si>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</si>
  <si>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</si>
  <si>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</si>
  <si>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</si>
  <si>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</si>
  <si>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</si>
  <si>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</si>
  <si>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</si>
  <si>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</si>
  <si>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</si>
  <si>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</si>
  <si>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</si>
  <si>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</si>
  <si>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</si>
  <si>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</si>
  <si>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</si>
  <si>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</si>
  <si>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</si>
  <si>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</si>
  <si>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</si>
  <si>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</si>
  <si>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</si>
  <si>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</si>
  <si>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</si>
  <si>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</si>
  <si>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</si>
  <si>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</si>
  <si>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</si>
  <si>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</si>
  <si>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</si>
  <si>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</si>
  <si>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</si>
  <si>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</si>
  <si>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</si>
  <si>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</si>
  <si>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</si>
  <si>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</si>
  <si>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</si>
  <si>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</si>
  <si>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</si>
  <si>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</si>
  <si>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</si>
  <si>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</si>
  <si>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</si>
  <si>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</si>
  <si>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</si>
  <si>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</si>
  <si>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</si>
  <si>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</si>
  <si>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</si>
  <si>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</si>
  <si>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</si>
  <si>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</si>
  <si>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</si>
  <si>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</si>
  <si>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</si>
  <si>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</si>
  <si>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</si>
  <si>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</si>
  <si>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</si>
  <si>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</si>
  <si>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</si>
  <si>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</si>
  <si>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</si>
  <si>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</si>
  <si>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</si>
  <si>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</si>
  <si>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</si>
  <si>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</si>
  <si>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</si>
  <si>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</si>
  <si>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</si>
  <si>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</si>
  <si>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</si>
  <si>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</si>
  <si>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</si>
  <si>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</si>
  <si>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</si>
  <si>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</si>
  <si>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</si>
  <si>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</si>
  <si>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</si>
  <si>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</si>
  <si>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</si>
  <si>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</si>
  <si>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</si>
  <si>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</si>
  <si>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</si>
  <si>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</si>
  <si>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</si>
  <si>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</si>
  <si>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</si>
  <si>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</si>
  <si>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</si>
  <si>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</si>
  <si>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</si>
  <si>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</si>
  <si>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</si>
  <si>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</si>
  <si>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</si>
  <si>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</si>
  <si>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</si>
  <si>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</si>
  <si>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</si>
  <si>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</si>
  <si>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</si>
  <si>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</si>
  <si>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</si>
  <si>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</si>
  <si>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</si>
  <si>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</si>
  <si>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</si>
  <si>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</si>
  <si>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</si>
  <si>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</si>
  <si>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</si>
  <si>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</si>
  <si>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</si>
  <si>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</si>
  <si>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</si>
  <si>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</si>
  <si>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</si>
  <si>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</si>
  <si>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</si>
  <si>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</si>
  <si>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</si>
  <si>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</si>
  <si>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</si>
  <si>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</si>
  <si>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</si>
  <si>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</si>
  <si>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</si>
  <si>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</si>
  <si>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</si>
  <si>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</si>
  <si>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</si>
  <si>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</si>
  <si>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</si>
  <si>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</si>
  <si>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</si>
  <si>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</si>
  <si>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</si>
  <si>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</si>
  <si>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</si>
  <si>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</si>
  <si>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</si>
  <si>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</si>
  <si>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</si>
  <si>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</si>
  <si>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</si>
  <si>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</si>
  <si>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</si>
  <si>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</si>
  <si>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</si>
  <si>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</si>
  <si>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</si>
  <si>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</si>
  <si>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</si>
  <si>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</si>
  <si>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</si>
  <si>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</si>
  <si>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</si>
  <si>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</si>
  <si>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</si>
  <si>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</si>
  <si>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</si>
  <si>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</si>
  <si>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</si>
  <si>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</si>
  <si>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</si>
  <si>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</si>
  <si>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</si>
  <si>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</si>
  <si>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</si>
  <si>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</si>
  <si>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</si>
  <si>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</si>
  <si>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</si>
  <si>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</si>
  <si>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</si>
  <si>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</si>
  <si>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</si>
  <si>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</si>
  <si>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</si>
  <si>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</si>
  <si>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</si>
  <si>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</si>
  <si>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</si>
  <si>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</si>
  <si>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</si>
  <si>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</si>
  <si>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</si>
  <si>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</si>
  <si>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</si>
  <si>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</si>
  <si>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</si>
  <si>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</si>
  <si>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</si>
  <si>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</si>
  <si>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</si>
  <si>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</si>
  <si>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</si>
  <si>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</si>
  <si>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</si>
  <si>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</si>
  <si>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</si>
  <si>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</si>
  <si>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</si>
  <si>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</si>
  <si>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</si>
  <si>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</si>
  <si>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</si>
  <si>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</si>
  <si>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</si>
  <si>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</si>
  <si>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</si>
  <si>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</si>
  <si>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</si>
  <si>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</si>
  <si>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</si>
  <si>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</si>
  <si>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</si>
  <si>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</si>
  <si>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</si>
  <si>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</si>
  <si>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</si>
  <si>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</si>
  <si>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</si>
  <si>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</si>
  <si>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</si>
  <si>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</si>
  <si>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</si>
  <si>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</si>
  <si>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</si>
  <si>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</si>
  <si>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</si>
  <si>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</si>
  <si>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</si>
  <si>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</si>
  <si>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</si>
  <si>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</si>
  <si>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</si>
  <si>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</si>
  <si>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</si>
  <si>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</si>
  <si>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</si>
  <si>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</si>
  <si>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</si>
  <si>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</si>
  <si>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</si>
  <si>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</si>
  <si>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</si>
  <si>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</si>
  <si>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</si>
  <si>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</si>
  <si>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</si>
  <si>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</si>
  <si>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</si>
  <si>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</si>
  <si>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</si>
  <si>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</si>
  <si>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</si>
  <si>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</si>
  <si>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</si>
  <si>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</si>
  <si>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</si>
  <si>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</si>
  <si>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</si>
  <si>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</si>
  <si>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</si>
  <si>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</si>
  <si>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</si>
  <si>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</si>
  <si>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</si>
  <si>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</si>
  <si>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</si>
  <si>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</si>
  <si>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</si>
  <si>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</si>
  <si>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</si>
  <si>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</si>
  <si>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</si>
  <si>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</si>
  <si>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</si>
  <si>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</si>
  <si>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</si>
  <si>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</si>
  <si>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</si>
  <si>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</si>
  <si>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</si>
  <si>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</si>
  <si>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</si>
  <si>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</si>
  <si>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</si>
  <si>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</si>
  <si>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</si>
  <si>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</si>
  <si>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</si>
  <si>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</si>
  <si>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</si>
  <si>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</si>
  <si>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</si>
  <si>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</si>
  <si>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</si>
  <si>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</si>
  <si>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</si>
  <si>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</si>
  <si>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</si>
  <si>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</si>
  <si>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</si>
  <si>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</si>
  <si>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</si>
  <si>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</si>
  <si>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</si>
  <si>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</si>
  <si>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</si>
  <si>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</si>
  <si>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</si>
  <si>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</si>
  <si>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</si>
  <si>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</si>
  <si>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</si>
  <si>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</si>
  <si>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</si>
  <si>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</si>
  <si>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</si>
  <si>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</si>
  <si>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</si>
  <si>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</si>
  <si>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</si>
  <si>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</si>
  <si>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</si>
  <si>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</si>
  <si>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</si>
  <si>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</si>
  <si>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</si>
  <si>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</si>
  <si>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</si>
  <si>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</si>
  <si>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</si>
  <si>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</si>
  <si>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</si>
  <si>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</si>
  <si>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</si>
  <si>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</si>
  <si>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</si>
  <si>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</si>
  <si>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</si>
  <si>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</si>
  <si>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</si>
  <si>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</si>
  <si>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</si>
  <si>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</si>
  <si>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</si>
  <si>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</si>
  <si>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</si>
  <si>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</si>
  <si>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</si>
  <si>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</si>
  <si>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</si>
  <si>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</si>
  <si>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</si>
  <si>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</si>
  <si>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</si>
  <si>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</si>
  <si>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</si>
  <si>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</si>
  <si>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</si>
  <si>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</si>
  <si>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</si>
  <si>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</si>
  <si>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</si>
  <si>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</si>
  <si>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</si>
  <si>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</si>
  <si>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</si>
  <si>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</si>
  <si>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</si>
  <si>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</si>
  <si>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</si>
  <si>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</si>
  <si>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</si>
  <si>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</si>
  <si>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</si>
  <si>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</si>
  <si>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</si>
  <si>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</si>
  <si>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</si>
  <si>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</si>
  <si>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</si>
  <si>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</si>
  <si>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</si>
  <si>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</si>
  <si>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</si>
  <si>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</si>
  <si>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</si>
  <si>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</si>
  <si>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</si>
  <si>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</si>
  <si>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</si>
  <si>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</si>
  <si>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</si>
  <si>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</si>
  <si>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</si>
  <si>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</si>
  <si>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</si>
  <si>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</si>
  <si>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</si>
  <si>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</si>
  <si>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</si>
  <si>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</si>
  <si>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</si>
  <si>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</si>
  <si>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</si>
  <si>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</si>
  <si>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</si>
  <si>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</si>
  <si>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</si>
  <si>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</si>
  <si>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</si>
  <si>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</si>
  <si>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</si>
  <si>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</si>
  <si>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</si>
  <si>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</si>
  <si>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</si>
  <si>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</si>
  <si>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</si>
  <si>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</si>
  <si>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</si>
  <si>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</si>
  <si>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</si>
  <si>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</si>
  <si>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</si>
  <si>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</si>
  <si>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</si>
  <si>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</si>
  <si>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</si>
  <si>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</si>
  <si>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</si>
  <si>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</si>
  <si>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</si>
  <si>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</si>
  <si>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</si>
  <si>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</si>
  <si>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</si>
  <si>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</si>
  <si>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</si>
  <si>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</si>
  <si>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</si>
  <si>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</si>
  <si>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</si>
  <si>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</si>
  <si>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</si>
  <si>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</si>
  <si>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</si>
  <si>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</si>
  <si>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</si>
  <si>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</si>
  <si>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</si>
  <si>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</si>
  <si>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</si>
  <si>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</si>
  <si>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</si>
  <si>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</si>
  <si>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</si>
  <si>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</si>
  <si>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</si>
  <si>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</si>
  <si>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</si>
  <si>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</si>
  <si>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</si>
  <si>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</si>
  <si>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</si>
  <si>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</si>
  <si>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</si>
  <si>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</si>
  <si>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</si>
  <si>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</si>
  <si>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</si>
  <si>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</si>
  <si>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</si>
  <si>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</si>
  <si>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</si>
  <si>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</si>
  <si>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</si>
  <si>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</si>
  <si>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</si>
  <si>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</si>
  <si>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</si>
  <si>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</si>
  <si>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</si>
  <si>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</si>
  <si>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</si>
  <si>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</si>
  <si>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</si>
  <si>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</si>
  <si>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</si>
  <si>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</si>
  <si>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</si>
  <si>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</si>
  <si>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</si>
  <si>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</si>
  <si>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</si>
  <si>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</si>
  <si>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</si>
  <si>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</si>
  <si>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</si>
  <si>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</si>
  <si>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</si>
  <si>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</si>
  <si>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</si>
  <si>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</si>
  <si>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</si>
  <si>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</si>
  <si>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</si>
  <si>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</si>
  <si>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</si>
  <si>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</si>
  <si>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</si>
  <si>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</si>
  <si>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</si>
  <si>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</si>
  <si>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</si>
  <si>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</si>
  <si>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</si>
  <si>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</si>
  <si>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</si>
  <si>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</si>
  <si>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</si>
  <si>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</si>
  <si>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</si>
  <si>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</si>
  <si>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</si>
  <si>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</si>
  <si>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</si>
  <si>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</si>
  <si>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</si>
  <si>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</si>
  <si>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</si>
  <si>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</si>
  <si>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</si>
  <si>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</si>
  <si>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</si>
  <si>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</si>
  <si>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</si>
  <si>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</si>
  <si>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</si>
  <si>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</si>
  <si>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</si>
  <si>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</si>
  <si>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</si>
  <si>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</si>
  <si>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</si>
  <si>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</si>
  <si>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</si>
  <si>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</si>
  <si>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</si>
  <si>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</si>
  <si>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</si>
  <si>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</si>
  <si>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</si>
  <si>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</si>
  <si>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</si>
  <si>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</si>
  <si>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</si>
  <si>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</si>
  <si>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</si>
  <si>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</si>
  <si>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</si>
  <si>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</si>
  <si>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</si>
  <si>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</si>
  <si>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</si>
  <si>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</si>
  <si>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</si>
  <si>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</si>
  <si>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</si>
  <si>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</si>
  <si>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</si>
  <si>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</si>
  <si>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</si>
  <si>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</si>
  <si>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</si>
  <si>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</si>
  <si>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</si>
  <si>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</si>
  <si>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</si>
  <si>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</si>
  <si>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</si>
  <si>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</si>
  <si>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</si>
  <si>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</si>
  <si>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</si>
  <si>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</si>
  <si>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</si>
  <si>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</si>
  <si>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</si>
  <si>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</si>
  <si>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</si>
  <si>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</si>
  <si>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</si>
  <si>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</si>
  <si>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</si>
  <si>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</si>
  <si>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</si>
  <si>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</si>
  <si>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</si>
  <si>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</si>
  <si>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</si>
  <si>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</si>
  <si>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</si>
  <si>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</si>
  <si>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</si>
  <si>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</si>
  <si>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</si>
  <si>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</si>
  <si>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</si>
  <si>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</si>
  <si>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</si>
  <si>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</si>
  <si>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</si>
  <si>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</si>
  <si>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</si>
  <si>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</si>
  <si>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</si>
  <si>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</si>
  <si>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</si>
  <si>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</si>
  <si>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</si>
  <si>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</si>
  <si>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</si>
  <si>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</si>
  <si>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</si>
  <si>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</si>
  <si>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</si>
  <si>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</si>
  <si>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</si>
  <si>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</si>
  <si>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</si>
  <si>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</si>
  <si>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</si>
  <si>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</si>
  <si>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</si>
  <si>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</si>
  <si>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</si>
  <si>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</si>
  <si>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</si>
  <si>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</si>
  <si>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</si>
  <si>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</si>
  <si>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</si>
  <si>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</si>
  <si>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</si>
  <si>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</si>
  <si>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</si>
  <si>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</si>
  <si>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</si>
  <si>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</si>
  <si>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</si>
  <si>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</si>
  <si>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</si>
  <si>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</si>
  <si>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</si>
  <si>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</si>
  <si>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</si>
  <si>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</si>
  <si>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</si>
  <si>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</si>
  <si>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</si>
  <si>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</si>
  <si>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</si>
  <si>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</si>
  <si>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</si>
  <si>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</si>
  <si>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</si>
  <si>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</si>
  <si>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</si>
  <si>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</si>
  <si>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</si>
  <si>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</si>
  <si>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</si>
  <si>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</si>
  <si>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</si>
  <si>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</si>
  <si>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</si>
  <si>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</si>
  <si>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</si>
  <si>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</si>
  <si>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</si>
  <si>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</si>
  <si>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</si>
  <si>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</si>
  <si>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</si>
  <si>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</si>
  <si>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</si>
  <si>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</si>
  <si>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</si>
  <si>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</si>
  <si>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</si>
  <si>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</si>
  <si>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</si>
  <si>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</si>
  <si>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</si>
  <si>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</si>
  <si>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</si>
  <si>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</si>
  <si>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</si>
  <si>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</si>
  <si>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</si>
  <si>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</si>
  <si>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</si>
  <si>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</si>
  <si>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</si>
  <si>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</si>
  <si>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</si>
  <si>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</si>
  <si>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</si>
  <si>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</si>
  <si>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</si>
  <si>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</si>
  <si>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</si>
  <si>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</si>
  <si>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</si>
  <si>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</si>
  <si>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</si>
  <si>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</si>
  <si>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</si>
  <si>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</si>
  <si>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</si>
  <si>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</si>
  <si>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</si>
  <si>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</si>
  <si>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</si>
  <si>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</si>
  <si>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</si>
  <si>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</si>
  <si>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</si>
  <si>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</si>
  <si>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</si>
  <si>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</si>
  <si>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</si>
  <si>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</si>
  <si>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</si>
  <si>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</si>
  <si>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</si>
  <si>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</si>
  <si>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</si>
  <si>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</si>
  <si>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</si>
  <si>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</si>
  <si>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</si>
  <si>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</si>
  <si>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</si>
  <si>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</si>
  <si>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</si>
  <si>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</si>
  <si>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</si>
  <si>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</si>
  <si>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</si>
  <si>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</si>
  <si>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</si>
  <si>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</si>
  <si>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</si>
  <si>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</si>
  <si>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</si>
  <si>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</si>
  <si>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</si>
  <si>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</si>
  <si>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</si>
  <si>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</si>
  <si>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</si>
  <si>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</si>
  <si>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</si>
  <si>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</si>
  <si>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</si>
  <si>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</si>
  <si>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</si>
  <si>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</si>
  <si>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</si>
  <si>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</si>
  <si>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</si>
  <si>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</si>
  <si>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</si>
  <si>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</si>
  <si>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</si>
  <si>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</si>
  <si>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</si>
  <si>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</si>
  <si>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</si>
  <si>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</si>
  <si>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</si>
  <si>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</si>
  <si>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</si>
  <si>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</si>
  <si>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</si>
  <si>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</si>
  <si>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</si>
  <si>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</si>
  <si>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</si>
  <si>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</si>
  <si>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</si>
  <si>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</si>
  <si>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</si>
  <si>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</si>
  <si>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</si>
  <si>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</si>
  <si>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</si>
  <si>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</si>
  <si>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</si>
  <si>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</si>
  <si>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</si>
  <si>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</si>
  <si>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</si>
  <si>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</si>
  <si>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</si>
  <si>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</si>
  <si>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</si>
  <si>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</si>
  <si>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</si>
  <si>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</si>
  <si>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</si>
  <si>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</si>
  <si>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</si>
  <si>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</si>
  <si>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</si>
  <si>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</si>
  <si>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</si>
  <si>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</si>
  <si>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</si>
  <si>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</si>
  <si>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</si>
  <si>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</si>
  <si>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</si>
  <si>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</si>
  <si>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</si>
  <si>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</si>
  <si>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</si>
  <si>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</si>
  <si>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</si>
  <si>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</si>
  <si>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</si>
  <si>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</si>
  <si>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</si>
  <si>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</si>
  <si>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</si>
  <si>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</si>
  <si>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</si>
  <si>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</si>
  <si>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</si>
  <si>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</si>
  <si>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</si>
  <si>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</si>
  <si>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</si>
  <si>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</si>
  <si>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</si>
  <si>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</si>
  <si>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</si>
  <si>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</si>
  <si>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</si>
  <si>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</si>
  <si>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</si>
  <si>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</si>
  <si>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</si>
  <si>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</si>
  <si>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</si>
  <si>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</si>
  <si>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</si>
  <si>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</si>
  <si>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</si>
  <si>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</si>
  <si>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</si>
  <si>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</si>
  <si>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</si>
  <si>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</si>
  <si>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</si>
  <si>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</si>
  <si>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</si>
  <si>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</si>
  <si>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</si>
  <si>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</si>
  <si>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</si>
  <si>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</si>
  <si>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</si>
  <si>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</si>
  <si>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</si>
  <si>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</si>
  <si>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</si>
  <si>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</si>
  <si>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</si>
  <si>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</si>
  <si>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</si>
  <si>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</si>
  <si>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</si>
  <si>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</si>
  <si>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</si>
  <si>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</si>
  <si>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</si>
  <si>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</si>
  <si>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</si>
  <si>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</si>
  <si>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</si>
  <si>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</si>
  <si>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</si>
  <si>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</si>
  <si>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</si>
  <si>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</si>
  <si>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</si>
  <si>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</si>
  <si>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</si>
  <si>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</si>
  <si>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</si>
  <si>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</si>
  <si>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</si>
  <si>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</si>
  <si>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</si>
  <si>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</si>
  <si>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</si>
  <si>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</si>
  <si>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</si>
  <si>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</si>
  <si>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</si>
  <si>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</si>
  <si>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</si>
  <si>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</si>
  <si>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</si>
  <si>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</si>
  <si>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</si>
  <si>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</si>
  <si>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</si>
  <si>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</si>
  <si>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</si>
  <si>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</si>
  <si>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</si>
  <si>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</si>
  <si>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</si>
  <si>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</si>
  <si>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</si>
  <si>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</si>
  <si>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</si>
  <si>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</si>
  <si>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</si>
  <si>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</si>
  <si>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</si>
  <si>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</si>
  <si>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</si>
  <si>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</si>
  <si>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</si>
  <si>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</si>
  <si>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</si>
  <si>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</si>
  <si>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</si>
  <si>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</si>
  <si>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</si>
  <si>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</si>
  <si>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</si>
  <si>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</si>
  <si>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</si>
  <si>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</si>
  <si>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</si>
  <si>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</si>
  <si>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</si>
  <si>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</si>
  <si>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</si>
  <si>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</si>
  <si>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</si>
  <si>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</si>
  <si>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</si>
  <si>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</si>
  <si>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</si>
  <si>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</si>
  <si>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</si>
  <si>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</si>
  <si>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</si>
  <si>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</si>
  <si>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</si>
  <si>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</si>
  <si>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</si>
  <si>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</si>
  <si>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</si>
  <si>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</si>
  <si>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</si>
  <si>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</si>
  <si>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</si>
  <si>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</si>
  <si>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</si>
  <si>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</si>
  <si>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</si>
  <si>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</si>
  <si>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</si>
  <si>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</si>
  <si>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</si>
  <si>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</si>
  <si>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</si>
  <si>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</si>
  <si>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</si>
  <si>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</si>
  <si>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</si>
  <si>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</si>
  <si>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</si>
  <si>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</si>
  <si>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</si>
  <si>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</si>
  <si>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</si>
  <si>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</si>
  <si>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</si>
  <si>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</si>
  <si>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</si>
  <si>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</si>
  <si>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</si>
  <si>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</si>
  <si>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</si>
  <si>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</si>
  <si>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</si>
  <si>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</si>
  <si>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</si>
  <si>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</si>
  <si>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</si>
  <si>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</si>
  <si>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</si>
  <si>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</si>
  <si>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</si>
  <si>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</si>
  <si>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</si>
  <si>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</si>
  <si>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</si>
  <si>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</si>
  <si>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</si>
  <si>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</si>
  <si>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</si>
  <si>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</si>
  <si>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</si>
  <si>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</si>
  <si>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</si>
  <si>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</si>
  <si>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</si>
  <si>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</si>
  <si>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</si>
  <si>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</si>
  <si>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</si>
  <si>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</si>
  <si>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</si>
  <si>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</si>
  <si>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</si>
  <si>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</si>
  <si>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</si>
  <si>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</si>
  <si>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</si>
  <si>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</si>
  <si>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</si>
  <si>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</si>
  <si>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</si>
  <si>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</si>
  <si>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</si>
  <si>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</si>
  <si>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</si>
  <si>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</si>
  <si>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</si>
  <si>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</si>
  <si>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</si>
  <si>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</si>
  <si>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</si>
  <si>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</si>
  <si>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</si>
  <si>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</si>
  <si>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</si>
  <si>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</si>
  <si>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</si>
  <si>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</si>
  <si>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</si>
  <si>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</si>
  <si>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</si>
  <si>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</si>
  <si>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</si>
  <si>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</si>
  <si>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</si>
  <si>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</si>
  <si>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</si>
  <si>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</si>
  <si>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</si>
  <si>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</si>
  <si>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</si>
  <si>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</si>
  <si>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</si>
  <si>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</si>
  <si>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</si>
  <si>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</si>
  <si>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</si>
  <si>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</si>
  <si>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</si>
  <si>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</si>
  <si>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</si>
  <si>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</si>
  <si>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</si>
  <si>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</si>
  <si>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</si>
  <si>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</si>
  <si>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</si>
  <si>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</si>
  <si>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</si>
  <si>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</si>
  <si>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</si>
  <si>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</si>
  <si>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</si>
  <si>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</si>
  <si>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</si>
  <si>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</si>
  <si>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</si>
  <si>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</si>
  <si>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</si>
  <si>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</si>
  <si>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</si>
  <si>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</si>
  <si>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</si>
  <si>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</si>
  <si>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</si>
  <si>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</si>
  <si>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</si>
  <si>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</si>
  <si>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</si>
  <si>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</si>
  <si>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</si>
  <si>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</si>
  <si>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</si>
  <si>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</si>
  <si>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</si>
  <si>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</si>
  <si>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</si>
  <si>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</si>
  <si>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</si>
  <si>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</si>
  <si>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</si>
  <si>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</si>
  <si>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</si>
  <si>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</si>
  <si>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</si>
  <si>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</si>
  <si>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</si>
  <si>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</si>
  <si>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</si>
  <si>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</si>
  <si>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</si>
  <si>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</si>
  <si>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</si>
  <si>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</si>
  <si>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</si>
  <si>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</si>
  <si>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</si>
  <si>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</si>
  <si>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</si>
  <si>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</si>
  <si>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</si>
  <si>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</si>
  <si>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</si>
  <si>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</si>
  <si>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</si>
  <si>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</si>
  <si>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</si>
  <si>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</si>
  <si>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</si>
  <si>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</si>
  <si>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</si>
  <si>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</si>
  <si>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</si>
  <si>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</si>
  <si>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</si>
  <si>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</si>
  <si>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</si>
  <si>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</si>
  <si>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</si>
  <si>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</si>
  <si>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</si>
  <si>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</si>
  <si>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</si>
  <si>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</si>
  <si>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</si>
  <si>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</si>
  <si>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</si>
  <si>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</si>
  <si>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</si>
  <si>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</si>
  <si>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</si>
  <si>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</si>
  <si>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</si>
  <si>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</si>
  <si>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</si>
  <si>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</si>
  <si>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</si>
  <si>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</si>
  <si>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</si>
  <si>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</si>
  <si>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</si>
  <si>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</si>
  <si>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</si>
  <si>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</si>
  <si>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</si>
  <si>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</si>
  <si>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</si>
  <si>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</si>
  <si>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</si>
  <si>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</si>
  <si>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</si>
  <si>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</si>
  <si>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</si>
  <si>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</si>
  <si>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</si>
  <si>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</si>
  <si>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</si>
  <si>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</si>
  <si>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</si>
  <si>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</si>
  <si>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</si>
  <si>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</si>
  <si>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</si>
  <si>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</si>
  <si>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</si>
  <si>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</si>
  <si>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</si>
  <si>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</si>
  <si>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</si>
  <si>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</si>
  <si>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</si>
  <si>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</si>
  <si>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</si>
  <si>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</si>
  <si>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</si>
  <si>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</si>
  <si>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</si>
  <si>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</si>
  <si>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</si>
  <si>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</si>
  <si>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</si>
  <si>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</si>
  <si>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</si>
  <si>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</si>
  <si>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</si>
  <si>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</si>
  <si>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</si>
  <si>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</si>
  <si>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</si>
  <si>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</si>
  <si>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</si>
  <si>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</si>
  <si>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</si>
  <si>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</si>
  <si>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</si>
  <si>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</si>
  <si>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</si>
  <si>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</si>
  <si>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</si>
  <si>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</si>
  <si>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</si>
  <si>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</si>
  <si>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</si>
  <si>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</si>
  <si>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</si>
  <si>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</si>
  <si>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</si>
  <si>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</si>
  <si>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</si>
  <si>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</si>
  <si>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</si>
  <si>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</si>
  <si>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</si>
  <si>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</si>
  <si>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</si>
  <si>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</si>
  <si>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</si>
  <si>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</si>
  <si>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</si>
  <si>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</si>
  <si>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</si>
  <si>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</si>
  <si>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</si>
  <si>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</si>
  <si>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</si>
  <si>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</si>
  <si>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</si>
  <si>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</si>
  <si>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</si>
  <si>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</si>
  <si>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</si>
  <si>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</si>
  <si>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</si>
  <si>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</si>
  <si>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</si>
  <si>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</si>
  <si>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</si>
  <si>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</si>
  <si>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</si>
  <si>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</si>
  <si>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</si>
  <si>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</si>
  <si>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</si>
  <si>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</si>
  <si>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</si>
  <si>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</si>
  <si>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</si>
  <si>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</si>
  <si>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</si>
  <si>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</si>
  <si>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</si>
  <si>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</si>
  <si>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</si>
  <si>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</si>
  <si>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</si>
  <si>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</si>
  <si>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</si>
  <si>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</si>
  <si>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</si>
  <si>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</si>
  <si>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</si>
  <si>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</si>
  <si>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</si>
  <si>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</si>
  <si>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</si>
  <si>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</si>
  <si>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</si>
  <si>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</si>
  <si>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</si>
  <si>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</si>
  <si>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</si>
  <si>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</si>
  <si>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</si>
  <si>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</si>
  <si>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</si>
  <si>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</si>
  <si>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</si>
  <si>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</si>
  <si>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</si>
  <si>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</si>
  <si>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</si>
  <si>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</si>
  <si>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</si>
  <si>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</si>
  <si>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</si>
  <si>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</si>
  <si>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</si>
  <si>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</si>
  <si>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</si>
  <si>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</si>
  <si>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</si>
  <si>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</si>
  <si>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</si>
  <si>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</si>
  <si>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</si>
  <si>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</si>
  <si>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</si>
  <si>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</si>
  <si>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</si>
  <si>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</si>
  <si>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</si>
  <si>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</si>
  <si>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</si>
  <si>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</si>
  <si>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</si>
  <si>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</si>
  <si>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</si>
  <si>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</si>
  <si>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</si>
  <si>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</si>
  <si>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</si>
  <si>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</si>
  <si>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</si>
  <si>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</si>
  <si>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</si>
  <si>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</si>
  <si>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</si>
  <si>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</si>
  <si>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</si>
  <si>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</si>
  <si>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</si>
  <si>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</si>
  <si>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</si>
  <si>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</si>
  <si>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</si>
  <si>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</si>
  <si>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</si>
  <si>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</si>
  <si>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</si>
  <si>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</si>
  <si>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</si>
  <si>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</si>
  <si>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</si>
  <si>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</si>
  <si>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</si>
  <si>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</si>
  <si>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</si>
  <si>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</si>
  <si>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</si>
  <si>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</si>
  <si>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</si>
  <si>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</si>
  <si>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</si>
  <si>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</si>
  <si>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</si>
  <si>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</si>
  <si>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</si>
  <si>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</si>
  <si>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</si>
  <si>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</si>
  <si>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</si>
  <si>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</si>
  <si>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</si>
  <si>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</si>
  <si>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</si>
  <si>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</si>
  <si>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</si>
  <si>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</si>
  <si>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</si>
  <si>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</si>
  <si>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</si>
  <si>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</si>
  <si>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</si>
  <si>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</si>
  <si>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</si>
  <si>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</si>
  <si>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</si>
  <si>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</si>
  <si>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</si>
  <si>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</si>
  <si>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</si>
  <si>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</si>
  <si>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</si>
  <si>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</si>
  <si>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</si>
  <si>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</si>
  <si>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</si>
  <si>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</si>
  <si>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</si>
  <si>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</si>
  <si>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</si>
  <si>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</si>
  <si>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</si>
  <si>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</si>
  <si>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</si>
  <si>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</si>
  <si>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</si>
  <si>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</si>
  <si>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</si>
  <si>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</si>
  <si>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</si>
  <si>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</si>
  <si>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</si>
  <si>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</si>
  <si>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</si>
  <si>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</si>
  <si>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</si>
  <si>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</si>
  <si>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</si>
  <si>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</si>
  <si>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</si>
  <si>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</si>
  <si>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</si>
  <si>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</si>
  <si>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</si>
  <si>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</si>
  <si>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</si>
  <si>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</si>
  <si>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</si>
  <si>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</si>
  <si>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</si>
  <si>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</si>
  <si>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</si>
  <si>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</si>
  <si>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</si>
  <si>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</si>
  <si>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</si>
  <si>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</si>
  <si>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</si>
  <si>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</si>
  <si>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</si>
  <si>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</si>
  <si>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</si>
  <si>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</si>
  <si>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</si>
  <si>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</si>
  <si>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</si>
  <si>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</si>
  <si>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</si>
  <si>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</si>
  <si>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</si>
  <si>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</si>
  <si>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</si>
  <si>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</si>
  <si>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</si>
  <si>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</si>
  <si>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</si>
  <si>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</si>
  <si>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</si>
  <si>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</si>
  <si>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</si>
  <si>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</si>
  <si>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</si>
  <si>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</si>
  <si>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</si>
  <si>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</si>
  <si>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</si>
  <si>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</si>
  <si>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</si>
  <si>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</si>
  <si>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</si>
  <si>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</si>
  <si>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</si>
  <si>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</si>
  <si>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</si>
  <si>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</si>
  <si>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</si>
  <si>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</si>
  <si>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</si>
  <si>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</si>
  <si>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</si>
  <si>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</si>
  <si>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</si>
  <si>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</si>
  <si>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</si>
  <si>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</si>
  <si>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</si>
  <si>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</si>
  <si>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</si>
  <si>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</si>
  <si>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</si>
  <si>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</si>
  <si>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</si>
  <si>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</si>
  <si>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</si>
  <si>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</si>
  <si>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</si>
  <si>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</si>
  <si>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</si>
  <si>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</si>
  <si>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</si>
  <si>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</si>
  <si>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</si>
  <si>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</si>
  <si>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</si>
  <si>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</si>
  <si>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</si>
  <si>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</si>
  <si>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</si>
  <si>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</si>
  <si>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</si>
  <si>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</si>
  <si>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</si>
  <si>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</si>
  <si>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</si>
  <si>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</si>
  <si>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</si>
  <si>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</si>
  <si>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</si>
  <si>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</si>
  <si>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</si>
  <si>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</si>
  <si>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</si>
  <si>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</si>
  <si>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</si>
  <si>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</si>
  <si>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</si>
  <si>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</si>
  <si>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</si>
  <si>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</si>
  <si>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</si>
  <si>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</si>
  <si>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</si>
  <si>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</si>
  <si>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</si>
  <si>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</si>
  <si>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</si>
  <si>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</si>
  <si>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</si>
  <si>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</si>
  <si>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</si>
  <si>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</si>
  <si>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</si>
  <si>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</si>
  <si>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</si>
  <si>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</si>
  <si>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</si>
  <si>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</si>
  <si>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</si>
  <si>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</si>
  <si>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</si>
  <si>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</si>
  <si>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</si>
  <si>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</si>
  <si>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</si>
  <si>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</si>
  <si>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</si>
  <si>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</si>
  <si>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</si>
  <si>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</si>
  <si>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</si>
  <si>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</si>
  <si>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</si>
  <si>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</si>
  <si>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</si>
  <si>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</si>
  <si>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</si>
  <si>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</si>
  <si>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</si>
  <si>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</si>
  <si>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</si>
  <si>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</si>
  <si>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</si>
  <si>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</si>
  <si>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</si>
  <si>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</si>
  <si>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</si>
  <si>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</si>
  <si>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</si>
  <si>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</si>
  <si>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</si>
  <si>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</si>
  <si>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</si>
  <si>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</si>
  <si>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</si>
  <si>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</si>
  <si>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</si>
  <si>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</si>
  <si>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</si>
  <si>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</si>
  <si>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</si>
  <si>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</si>
  <si>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</si>
  <si>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</si>
  <si>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</si>
  <si>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</si>
  <si>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</si>
  <si>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</si>
  <si>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</si>
  <si>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</si>
  <si>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</si>
  <si>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</si>
  <si>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</si>
  <si>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</si>
  <si>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</si>
  <si>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</si>
  <si>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</si>
  <si>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</si>
  <si>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</si>
  <si>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</si>
  <si>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</si>
  <si>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</si>
  <si>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</si>
  <si>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</si>
  <si>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</si>
  <si>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</si>
  <si>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</si>
  <si>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</si>
  <si>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</si>
  <si>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</si>
  <si>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</si>
  <si>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</si>
  <si>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</si>
  <si>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</si>
  <si>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</si>
  <si>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</si>
  <si>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</si>
  <si>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</si>
  <si>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</si>
  <si>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</si>
  <si>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</si>
  <si>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</si>
  <si>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</si>
  <si>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</si>
  <si>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</si>
  <si>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</si>
  <si>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</si>
  <si>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</si>
  <si>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</si>
  <si>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</si>
  <si>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</si>
  <si>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</si>
  <si>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</si>
  <si>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</si>
  <si>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</si>
  <si>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</si>
  <si>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</si>
  <si>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</si>
  <si>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</si>
  <si>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</si>
  <si>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</si>
  <si>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</si>
  <si>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</si>
  <si>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</si>
  <si>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</si>
  <si>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</si>
  <si>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</si>
  <si>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</si>
  <si>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</si>
  <si>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</si>
  <si>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</si>
  <si>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</si>
  <si>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</si>
  <si>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</si>
  <si>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</si>
  <si>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</si>
  <si>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</si>
  <si>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</si>
  <si>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</si>
  <si>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</si>
  <si>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</si>
  <si>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</si>
  <si>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</si>
  <si>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</si>
  <si>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</si>
  <si>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</si>
  <si>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</si>
  <si>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</si>
  <si>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</si>
  <si>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</si>
  <si>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</si>
  <si>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</si>
  <si>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</si>
  <si>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</si>
  <si>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</si>
  <si>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</si>
  <si>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</si>
  <si>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</si>
  <si>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</si>
  <si>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</si>
  <si>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</si>
  <si>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</si>
  <si>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</si>
  <si>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</si>
  <si>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</si>
  <si>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</si>
  <si>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</si>
  <si>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</si>
  <si>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</si>
  <si>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</si>
  <si>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</si>
  <si>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</si>
  <si>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</si>
  <si>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</si>
  <si>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</si>
  <si>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</si>
  <si>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</si>
  <si>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</si>
  <si>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</si>
  <si>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</si>
  <si>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</si>
  <si>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</si>
  <si>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</si>
  <si>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</si>
  <si>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</si>
  <si>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</si>
  <si>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</si>
  <si>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</si>
  <si>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</si>
  <si>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</si>
  <si>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</si>
  <si>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</si>
  <si>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</si>
  <si>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</si>
  <si>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</si>
  <si>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</si>
  <si>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</si>
  <si>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</si>
  <si>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</si>
  <si>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</si>
  <si>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</si>
  <si>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</si>
  <si>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</si>
  <si>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</si>
  <si>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</si>
  <si>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</si>
  <si>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</si>
  <si>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</si>
  <si>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</si>
  <si>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</si>
  <si>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</si>
  <si>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</si>
  <si>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</si>
  <si>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</si>
  <si>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</si>
  <si>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</si>
  <si>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</si>
  <si>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</si>
  <si>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</si>
  <si>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</si>
  <si>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</si>
  <si>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</si>
  <si>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</si>
  <si>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</si>
  <si>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</si>
  <si>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</si>
  <si>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</si>
  <si>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</si>
  <si>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</si>
  <si>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</si>
  <si>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</si>
  <si>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</si>
  <si>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</si>
  <si>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</si>
  <si>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</si>
  <si>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</si>
  <si>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</si>
  <si>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</si>
  <si>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</si>
  <si>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</si>
  <si>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</si>
  <si>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</si>
  <si>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</si>
  <si>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</si>
  <si>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</si>
  <si>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</si>
  <si>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</si>
  <si>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</si>
  <si>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</si>
  <si>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</si>
  <si>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</si>
  <si>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</si>
  <si>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</si>
  <si>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</si>
  <si>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</si>
  <si>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</si>
  <si>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</si>
  <si>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</si>
  <si>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</si>
  <si>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</si>
  <si>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</si>
  <si>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</si>
  <si>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</si>
  <si>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</si>
  <si>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</si>
  <si>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</si>
  <si>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</si>
  <si>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</si>
  <si>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</si>
  <si>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</si>
  <si>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</si>
  <si>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</si>
  <si>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</si>
  <si>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</si>
  <si>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</si>
  <si>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</si>
  <si>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</si>
  <si>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</si>
  <si>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</si>
  <si>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</si>
  <si>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</si>
  <si>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</si>
  <si>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</si>
  <si>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</si>
  <si>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</si>
  <si>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</si>
  <si>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</si>
  <si>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</si>
  <si>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</si>
  <si>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</si>
  <si>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</si>
  <si>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</si>
  <si>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</si>
  <si>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</si>
  <si>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</si>
  <si>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</si>
  <si>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</si>
  <si>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</si>
  <si>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</si>
  <si>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</si>
  <si>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</si>
  <si>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</si>
  <si>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</si>
  <si>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</si>
  <si>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</si>
  <si>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</si>
  <si>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</si>
  <si>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</si>
  <si>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</si>
  <si>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</si>
  <si>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</si>
  <si>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</si>
  <si>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</si>
  <si>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</si>
  <si>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</si>
  <si>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</si>
  <si>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</si>
  <si>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</si>
  <si>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</si>
  <si>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</si>
  <si>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</si>
  <si>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</si>
  <si>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</si>
  <si>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</si>
  <si>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</si>
  <si>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</si>
  <si>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</si>
  <si>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</si>
  <si>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</si>
  <si>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</si>
  <si>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</si>
  <si>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</si>
  <si>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</si>
  <si>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</si>
  <si>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</si>
  <si>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</si>
  <si>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</si>
  <si>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</si>
  <si>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</si>
  <si>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</si>
  <si>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</si>
  <si>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</si>
  <si>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</si>
  <si>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</si>
  <si>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</si>
  <si>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</si>
  <si>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</si>
  <si>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</si>
  <si>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</si>
  <si>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</si>
  <si>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</si>
  <si>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</si>
  <si>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</si>
  <si>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</si>
  <si>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</si>
  <si>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</si>
  <si>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</si>
  <si>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</si>
  <si>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</si>
  <si>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</si>
  <si>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</si>
  <si>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</si>
  <si>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</si>
  <si>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</si>
  <si>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</si>
  <si>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</si>
  <si>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</si>
  <si>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</si>
  <si>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</si>
  <si>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</si>
  <si>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</si>
  <si>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</si>
  <si>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</si>
  <si>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</si>
  <si>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</si>
  <si>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</si>
  <si>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</si>
  <si>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</si>
  <si>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</si>
  <si>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</si>
  <si>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</si>
  <si>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</si>
  <si>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</si>
  <si>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</si>
  <si>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</si>
  <si>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</si>
  <si>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</si>
  <si>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</si>
  <si>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</si>
  <si>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</si>
  <si>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</si>
  <si>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</si>
  <si>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</si>
  <si>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</si>
  <si>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</si>
  <si>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</si>
  <si>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</si>
  <si>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</si>
  <si>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</si>
  <si>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</si>
  <si>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</si>
  <si>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</si>
  <si>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</si>
  <si>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</si>
  <si>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</si>
  <si>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</si>
  <si>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</si>
  <si>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</si>
  <si>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</si>
  <si>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</si>
  <si>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</si>
  <si>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</si>
  <si>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</si>
  <si>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</si>
  <si>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</si>
  <si>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</si>
  <si>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</si>
  <si>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</si>
  <si>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</si>
  <si>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</si>
  <si>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</si>
  <si>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</si>
  <si>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</si>
  <si>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</si>
  <si>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</si>
  <si>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</si>
  <si>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</si>
  <si>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</si>
  <si>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</si>
  <si>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</si>
  <si>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</si>
  <si>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</si>
  <si>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</si>
  <si>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</si>
  <si>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</si>
  <si>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</si>
  <si>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</si>
  <si>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</si>
  <si>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</si>
  <si>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</si>
  <si>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</si>
  <si>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</si>
  <si>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</si>
  <si>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</si>
  <si>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</si>
  <si>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</si>
  <si>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</si>
  <si>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</si>
  <si>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</si>
  <si>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</si>
  <si>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</si>
  <si>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</si>
  <si>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</si>
  <si>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</si>
  <si>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</si>
  <si>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</si>
  <si>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</si>
  <si>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</si>
  <si>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</si>
  <si>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</si>
  <si>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</si>
  <si>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</si>
  <si>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</si>
  <si>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</si>
  <si>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</si>
  <si>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</si>
  <si>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</si>
  <si>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</si>
  <si>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</si>
  <si>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</si>
  <si>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</si>
  <si>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</si>
  <si>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</si>
  <si>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</si>
  <si>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</si>
  <si>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</si>
  <si>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</si>
  <si>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</si>
  <si>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</si>
  <si>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</si>
  <si>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</si>
  <si>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</si>
  <si>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</si>
  <si>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</si>
  <si>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</si>
  <si>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</si>
  <si>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</si>
  <si>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</si>
  <si>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</si>
  <si>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</si>
  <si>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</si>
  <si>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</si>
  <si>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</si>
  <si>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</si>
  <si>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</si>
  <si>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</si>
  <si>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</si>
  <si>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</si>
  <si>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</si>
  <si>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</si>
  <si>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</si>
  <si>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</si>
  <si>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</si>
  <si>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</si>
  <si>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</si>
  <si>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</si>
  <si>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</si>
  <si>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</si>
  <si>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</si>
  <si>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</si>
  <si>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</si>
  <si>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</si>
  <si>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</si>
  <si>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</si>
  <si>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</si>
  <si>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</si>
  <si>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</si>
  <si>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</si>
  <si>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</si>
  <si>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</si>
  <si>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</si>
  <si>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</si>
  <si>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</si>
  <si>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</si>
  <si>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</si>
  <si>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</si>
  <si>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</si>
  <si>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</si>
  <si>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</si>
  <si>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</si>
  <si>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</si>
  <si>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</si>
  <si>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</si>
  <si>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</si>
  <si>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</si>
  <si>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</si>
  <si>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</si>
  <si>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</si>
  <si>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</si>
  <si>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</si>
  <si>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</si>
  <si>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</si>
  <si>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</si>
  <si>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</si>
  <si>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</si>
  <si>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</si>
  <si>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</si>
  <si>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</si>
  <si>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</si>
  <si>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</si>
  <si>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</si>
  <si>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</si>
  <si>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</si>
  <si>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</si>
  <si>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</si>
  <si>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</si>
  <si>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</si>
  <si>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</si>
  <si>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</si>
  <si>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</si>
  <si>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</si>
  <si>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</si>
  <si>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</si>
  <si>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</si>
  <si>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</si>
  <si>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</si>
  <si>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</si>
  <si>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</si>
  <si>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</si>
  <si>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</si>
  <si>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</si>
  <si>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</si>
  <si>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</si>
  <si>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</si>
  <si>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</si>
  <si>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</si>
  <si>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</si>
  <si>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</si>
  <si>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</si>
  <si>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</si>
  <si>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</si>
  <si>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</si>
  <si>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</si>
  <si>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</si>
  <si>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</si>
  <si>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</si>
  <si>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</si>
  <si>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</si>
  <si>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</si>
  <si>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</si>
  <si>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</si>
  <si>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</si>
  <si>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</si>
  <si>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</si>
  <si>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</si>
  <si>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</si>
  <si>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</si>
  <si>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</si>
  <si>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</si>
  <si>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</si>
  <si>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</si>
  <si>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</si>
  <si>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</si>
  <si>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</si>
  <si>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</si>
  <si>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</si>
  <si>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</si>
  <si>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</si>
  <si>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</si>
  <si>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</si>
  <si>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</si>
  <si>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</si>
  <si>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</si>
  <si>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</si>
  <si>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</si>
  <si>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</si>
  <si>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</si>
  <si>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</si>
  <si>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</si>
  <si>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</si>
  <si>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</si>
  <si>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</si>
  <si>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</si>
  <si>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</si>
  <si>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</si>
  <si>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</si>
  <si>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</si>
  <si>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</si>
  <si>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</si>
  <si>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</si>
  <si>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</si>
  <si>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</si>
  <si>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</si>
  <si>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</si>
  <si>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</si>
  <si>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</si>
  <si>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</si>
  <si>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</si>
  <si>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</si>
  <si>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</si>
  <si>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</si>
  <si>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</si>
  <si>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</si>
  <si>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</si>
  <si>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</si>
  <si>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</si>
  <si>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</si>
  <si>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</si>
  <si>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</si>
  <si>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</si>
  <si>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</si>
  <si>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</si>
  <si>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</si>
  <si>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</si>
  <si>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</si>
  <si>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</si>
  <si>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</si>
  <si>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</si>
  <si>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</si>
  <si>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</si>
  <si>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</si>
  <si>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</si>
  <si>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</si>
  <si>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</si>
  <si>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</si>
  <si>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</si>
  <si>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</si>
  <si>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</si>
  <si>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</si>
  <si>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</si>
  <si>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</si>
  <si>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</si>
  <si>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</si>
  <si>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</si>
  <si>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</si>
  <si>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</si>
  <si>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</si>
  <si>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</si>
  <si>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</si>
  <si>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</si>
  <si>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</si>
  <si>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</si>
  <si>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</si>
  <si>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</si>
  <si>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</si>
  <si>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</si>
  <si>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</si>
  <si>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</si>
  <si>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</si>
  <si>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</si>
  <si>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</si>
  <si>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</si>
  <si>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</si>
  <si>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</si>
  <si>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</si>
  <si>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</si>
  <si>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</si>
  <si>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</si>
  <si>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</si>
  <si>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</si>
  <si>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</si>
  <si>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</si>
  <si>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</si>
  <si>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</si>
  <si>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</si>
  <si>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</si>
  <si>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</si>
  <si>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</si>
  <si>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</si>
  <si>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</si>
  <si>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</si>
  <si>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</si>
  <si>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</si>
  <si>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</si>
  <si>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</si>
  <si>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</si>
  <si>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</si>
  <si>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</si>
  <si>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</si>
  <si>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</si>
  <si>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</si>
  <si>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</si>
  <si>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</si>
  <si>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</si>
  <si>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</si>
  <si>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</si>
  <si>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</si>
  <si>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</si>
  <si>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</si>
  <si>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</si>
  <si>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</si>
  <si>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</si>
  <si>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</si>
  <si>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</si>
  <si>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</si>
  <si>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</si>
  <si>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</si>
  <si>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</si>
  <si>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</si>
  <si>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</si>
  <si>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</si>
  <si>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</si>
  <si>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</si>
  <si>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</si>
  <si>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</si>
  <si>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</si>
  <si>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</si>
  <si>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</si>
  <si>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</si>
  <si>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</si>
  <si>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</si>
  <si>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</si>
  <si>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</si>
  <si>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</si>
  <si>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</si>
  <si>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</si>
  <si>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</si>
  <si>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</si>
  <si>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</si>
  <si>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</si>
  <si>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</si>
  <si>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</si>
  <si>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</si>
  <si>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</si>
  <si>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</si>
  <si>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</si>
  <si>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</si>
  <si>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</si>
  <si>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</si>
  <si>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</si>
  <si>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</si>
  <si>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</si>
  <si>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</si>
  <si>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</si>
  <si>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</si>
  <si>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</si>
  <si>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</si>
  <si>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</si>
  <si>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</si>
  <si>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</si>
  <si>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</si>
  <si>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</si>
  <si>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</si>
  <si>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</si>
  <si>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</si>
  <si>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</si>
  <si>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</si>
  <si>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</si>
  <si>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</si>
  <si>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</si>
  <si>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</si>
  <si>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</si>
  <si>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</si>
  <si>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</si>
  <si>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</si>
  <si>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</si>
  <si>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</si>
  <si>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</si>
  <si>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</si>
  <si>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</si>
  <si>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</si>
  <si>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</si>
  <si>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</si>
  <si>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</si>
  <si>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</si>
  <si>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</si>
  <si>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</si>
  <si>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</si>
  <si>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</si>
  <si>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</si>
  <si>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</si>
  <si>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</si>
  <si>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</si>
  <si>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</si>
  <si>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</si>
  <si>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</si>
  <si>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</si>
  <si>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</si>
  <si>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</si>
  <si>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</si>
  <si>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</si>
  <si>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</si>
  <si>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</si>
  <si>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</si>
  <si>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</si>
  <si>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</si>
  <si>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</si>
  <si>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</si>
  <si>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</si>
  <si>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</si>
  <si>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</si>
  <si>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</si>
  <si>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</si>
  <si>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</si>
  <si>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</si>
  <si>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</si>
  <si>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</si>
  <si>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</si>
  <si>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</si>
  <si>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</si>
  <si>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</si>
  <si>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</si>
  <si>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</si>
  <si>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</si>
  <si>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</si>
  <si>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</si>
  <si>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</si>
  <si>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</si>
  <si>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</si>
  <si>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</si>
  <si>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</si>
  <si>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</si>
  <si>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</si>
  <si>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</si>
  <si>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</si>
  <si>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</si>
  <si>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</si>
  <si>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</si>
  <si>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</si>
  <si>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</si>
  <si>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</si>
  <si>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</si>
  <si>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</si>
  <si>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</si>
  <si>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</si>
  <si>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</si>
  <si>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</si>
  <si>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</si>
  <si>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</si>
  <si>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</si>
  <si>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</si>
  <si>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</si>
  <si>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</si>
  <si>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</si>
  <si>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</si>
  <si>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</si>
  <si>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</si>
  <si>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</si>
  <si>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</si>
  <si>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</si>
  <si>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</si>
  <si>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</si>
  <si>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</si>
  <si>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</si>
  <si>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</si>
  <si>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</si>
  <si>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</si>
  <si>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</si>
  <si>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</si>
  <si>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</si>
  <si>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</si>
  <si>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</si>
  <si>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</si>
  <si>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</si>
  <si>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</si>
  <si>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</si>
  <si>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</si>
  <si>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</si>
  <si>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</si>
  <si>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</si>
  <si>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</si>
  <si>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</si>
  <si>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</si>
  <si>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</si>
  <si>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</si>
  <si>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</si>
  <si>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</si>
  <si>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</si>
  <si>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</si>
  <si>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</si>
  <si>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</si>
  <si>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</si>
  <si>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</si>
  <si>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</si>
  <si>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</si>
  <si>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</si>
  <si>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</si>
  <si>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</si>
  <si>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</si>
  <si>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</si>
  <si>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</si>
  <si>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</si>
  <si>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</si>
  <si>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</si>
  <si>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</si>
  <si>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</si>
  <si>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</si>
  <si>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</si>
  <si>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</si>
  <si>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</si>
  <si>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</si>
  <si>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</si>
  <si>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</si>
  <si>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</si>
  <si>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</si>
  <si>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</si>
  <si>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</si>
  <si>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</si>
  <si>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</si>
  <si>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</si>
  <si>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</si>
  <si>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</si>
  <si>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</si>
  <si>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</si>
  <si>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</si>
  <si>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</si>
  <si>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</si>
  <si>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</si>
  <si>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</si>
  <si>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</si>
  <si>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</si>
  <si>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</si>
  <si>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</si>
  <si>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</si>
  <si>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</si>
  <si>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</si>
  <si>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</si>
  <si>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</si>
  <si>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</si>
  <si>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</si>
  <si>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</si>
  <si>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</si>
  <si>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</si>
  <si>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</si>
  <si>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</si>
  <si>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</si>
  <si>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</si>
  <si>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</si>
  <si>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</si>
  <si>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</si>
  <si>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</si>
  <si>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</si>
  <si>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</si>
  <si>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</si>
  <si>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</si>
  <si>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</si>
  <si>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</si>
  <si>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</si>
  <si>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</si>
  <si>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</si>
  <si>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</si>
  <si>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</si>
  <si>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</si>
  <si>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</si>
  <si>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</si>
  <si>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</si>
  <si>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</si>
  <si>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</si>
  <si>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</si>
  <si>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</si>
  <si>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</si>
  <si>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</si>
  <si>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</si>
  <si>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</si>
  <si>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</si>
  <si>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</si>
  <si>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</si>
  <si>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</si>
  <si>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</si>
  <si>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</si>
  <si>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</si>
  <si>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</si>
  <si>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</si>
  <si>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</si>
  <si>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</si>
  <si>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</si>
  <si>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</si>
  <si>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</si>
  <si>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</si>
  <si>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</si>
  <si>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</si>
  <si>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</si>
  <si>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</si>
  <si>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</si>
  <si>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</si>
  <si>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</si>
  <si>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</si>
  <si>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</si>
  <si>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</si>
  <si>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</si>
  <si>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</si>
  <si>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</si>
  <si>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</si>
  <si>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</si>
  <si>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</si>
  <si>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</si>
  <si>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</si>
  <si>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</si>
  <si>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</si>
  <si>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</si>
  <si>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</si>
  <si>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</si>
  <si>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</si>
  <si>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</si>
  <si>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</si>
  <si>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</si>
  <si>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</si>
  <si>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</si>
  <si>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</si>
  <si>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</si>
  <si>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</si>
  <si>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</si>
  <si>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</si>
  <si>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</si>
  <si>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</si>
  <si>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</si>
  <si>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</si>
  <si>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</si>
  <si>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</si>
  <si>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</si>
  <si>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</si>
  <si>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</si>
  <si>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</si>
  <si>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</si>
  <si>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</si>
  <si>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</si>
  <si>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</si>
  <si>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</si>
  <si>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</si>
  <si>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</si>
  <si>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</si>
  <si>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</si>
  <si>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</si>
  <si>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</si>
  <si>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</si>
  <si>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</si>
  <si>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</si>
  <si>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</si>
  <si>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</si>
  <si>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</si>
  <si>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</si>
  <si>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</si>
  <si>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</si>
  <si>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</si>
  <si>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</si>
  <si>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</si>
  <si>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</si>
  <si>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</si>
  <si>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</si>
  <si>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</si>
  <si>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</si>
  <si>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</si>
  <si>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</si>
  <si>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</si>
  <si>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</si>
  <si>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</si>
  <si>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</si>
  <si>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</si>
  <si>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</si>
  <si>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</si>
  <si>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</si>
  <si>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</si>
  <si>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</si>
  <si>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</si>
  <si>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</si>
  <si>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</si>
  <si>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</si>
  <si>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</si>
  <si>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</si>
  <si>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</si>
  <si>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</si>
  <si>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</si>
  <si>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</si>
  <si>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</si>
  <si>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</si>
  <si>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</si>
  <si>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</si>
  <si>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</si>
  <si>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</si>
  <si>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</si>
  <si>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</si>
  <si>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</si>
  <si>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</si>
  <si>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</si>
  <si>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</si>
  <si>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</si>
  <si>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</si>
  <si>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</si>
  <si>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</si>
  <si>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</si>
  <si>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</si>
  <si>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</si>
  <si>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</si>
  <si>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</si>
  <si>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</si>
  <si>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</si>
  <si>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</si>
  <si>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</si>
  <si>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</si>
  <si>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</si>
  <si>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</si>
  <si>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</si>
  <si>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</si>
  <si>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</si>
  <si>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</si>
  <si>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</si>
  <si>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</si>
  <si>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</si>
  <si>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</si>
  <si>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</si>
  <si>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</si>
  <si>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</si>
  <si>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</si>
  <si>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</si>
  <si>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</si>
  <si>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</si>
  <si>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</si>
  <si>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</si>
  <si>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</si>
  <si>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</si>
  <si>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</si>
  <si>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</si>
  <si>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</si>
  <si>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</si>
  <si>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</si>
  <si>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</si>
  <si>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</si>
  <si>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</si>
  <si>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</si>
  <si>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</si>
  <si>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</si>
  <si>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</si>
  <si>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</si>
  <si>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</si>
  <si>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</si>
  <si>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</si>
  <si>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</si>
  <si>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</si>
  <si>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</si>
  <si>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</si>
  <si>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</si>
  <si>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</si>
  <si>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</si>
  <si>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</si>
  <si>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</si>
  <si>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</si>
  <si>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</si>
  <si>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</si>
  <si>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</si>
  <si>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</si>
  <si>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</si>
  <si>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</si>
  <si>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</si>
  <si>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</si>
  <si>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</si>
  <si>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</si>
  <si>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</si>
  <si>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</si>
  <si>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</si>
  <si>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</si>
  <si>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</si>
  <si>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</si>
  <si>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</si>
  <si>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</si>
  <si>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</si>
  <si>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</si>
  <si>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</si>
  <si>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</si>
  <si>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</si>
  <si>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</si>
  <si>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</si>
  <si>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</si>
  <si>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</si>
  <si>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</si>
  <si>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</si>
  <si>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</si>
  <si>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</si>
  <si>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</si>
  <si>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</si>
  <si>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</si>
  <si>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</si>
  <si>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</si>
  <si>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</si>
  <si>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</si>
  <si>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</si>
  <si>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</si>
  <si>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</si>
  <si>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</si>
  <si>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</si>
  <si>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</si>
  <si>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</si>
  <si>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</si>
  <si>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</si>
  <si>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</si>
  <si>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</si>
  <si>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</si>
  <si>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</si>
  <si>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</si>
  <si>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</si>
  <si>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</si>
  <si>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</si>
  <si>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</si>
  <si>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</si>
  <si>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</si>
  <si>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</si>
  <si>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</si>
  <si>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</si>
  <si>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</si>
  <si>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</si>
  <si>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</si>
  <si>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</si>
  <si>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</si>
  <si>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</si>
  <si>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</si>
  <si>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</si>
  <si>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</si>
  <si>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</si>
  <si>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</si>
  <si>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</si>
  <si>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</si>
  <si>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</si>
  <si>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</si>
  <si>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</si>
  <si>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</si>
  <si>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</si>
  <si>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</si>
  <si>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</si>
  <si>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</si>
  <si>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</si>
  <si>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</si>
  <si>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</si>
  <si>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</si>
  <si>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</si>
  <si>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</si>
  <si>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</si>
  <si>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</si>
  <si>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</si>
  <si>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</si>
  <si>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</si>
  <si>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</si>
  <si>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</si>
  <si>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</si>
  <si>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</si>
  <si>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</si>
  <si>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</si>
  <si>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</si>
  <si>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</si>
  <si>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</si>
  <si>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</si>
  <si>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</si>
  <si>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</si>
  <si>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</si>
  <si>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</si>
  <si>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</si>
  <si>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</si>
  <si>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</si>
  <si>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</si>
  <si>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</si>
  <si>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</si>
  <si>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</si>
  <si>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</si>
  <si>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</si>
  <si>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</si>
  <si>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</si>
  <si>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</si>
  <si>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</si>
  <si>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</si>
  <si>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</si>
  <si>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</si>
  <si>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</si>
  <si>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</si>
  <si>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</si>
  <si>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</si>
  <si>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</si>
  <si>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</si>
  <si>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</si>
  <si>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</si>
  <si>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</si>
  <si>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</si>
  <si>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</si>
  <si>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</si>
  <si>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</si>
  <si>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</si>
  <si>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</si>
  <si>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</si>
  <si>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</si>
  <si>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</si>
  <si>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</si>
  <si>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</si>
  <si>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</si>
  <si>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</si>
  <si>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</si>
  <si>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</si>
  <si>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</si>
  <si>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</si>
  <si>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</si>
  <si>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</si>
  <si>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</si>
  <si>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</si>
  <si>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</si>
  <si>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</si>
  <si>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</si>
  <si>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</si>
  <si>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</si>
  <si>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</si>
  <si>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</si>
  <si>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</si>
  <si>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</si>
  <si>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</si>
  <si>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</si>
  <si>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</si>
  <si>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</si>
  <si>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</si>
  <si>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</si>
  <si>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</si>
  <si>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</si>
  <si>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</si>
  <si>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</si>
  <si>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</si>
  <si>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</si>
  <si>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</si>
  <si>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</si>
  <si>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</si>
  <si>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</si>
  <si>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</si>
  <si>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</si>
  <si>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</si>
  <si>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</si>
  <si>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</si>
  <si>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</si>
  <si>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</si>
  <si>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</si>
  <si>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</si>
  <si>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</si>
  <si>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</si>
  <si>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</si>
  <si>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</si>
  <si>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</si>
  <si>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</si>
  <si>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</si>
  <si>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</si>
  <si>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</si>
  <si>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</si>
  <si>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</si>
  <si>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</si>
  <si>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</si>
  <si>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</si>
  <si>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</si>
  <si>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</si>
  <si>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</si>
  <si>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</si>
  <si>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</si>
  <si>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</si>
  <si>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</si>
  <si>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</si>
  <si>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</si>
  <si>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</si>
  <si>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</si>
  <si>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</si>
  <si>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</si>
  <si>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</si>
  <si>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</si>
  <si>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</si>
  <si>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</si>
  <si>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</si>
  <si>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</si>
  <si>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</si>
  <si>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</si>
  <si>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</si>
  <si>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</si>
  <si>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</si>
  <si>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</si>
  <si>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</si>
  <si>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</si>
  <si>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</si>
  <si>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</si>
  <si>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</si>
  <si>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</si>
  <si>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</si>
  <si>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</si>
  <si>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</si>
  <si>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</si>
  <si>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</si>
  <si>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</si>
  <si>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</si>
  <si>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</si>
  <si>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</si>
  <si>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</si>
  <si>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</si>
  <si>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</si>
  <si>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</si>
  <si>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</si>
  <si>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</si>
  <si>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</si>
  <si>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</si>
  <si>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</si>
  <si>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</si>
  <si>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</si>
  <si>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</si>
  <si>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</si>
  <si>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</si>
  <si>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</si>
  <si>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</si>
  <si>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</si>
  <si>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</si>
  <si>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</si>
  <si>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</si>
  <si>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</si>
  <si>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</si>
  <si>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</si>
  <si>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</si>
  <si>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</si>
  <si>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</si>
  <si>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</si>
  <si>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</si>
  <si>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</si>
  <si>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</si>
  <si>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</si>
  <si>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</si>
  <si>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</si>
  <si>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</si>
  <si>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</si>
  <si>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</si>
  <si>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</si>
  <si>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</si>
  <si>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</si>
  <si>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</si>
  <si>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</si>
  <si>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</si>
  <si>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</si>
  <si>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</si>
  <si>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</si>
  <si>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</si>
  <si>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</si>
  <si>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</si>
  <si>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</si>
  <si>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</si>
  <si>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</si>
  <si>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</si>
  <si>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</si>
  <si>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</si>
  <si>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</si>
  <si>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</si>
  <si>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</si>
  <si>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</si>
  <si>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</si>
  <si>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</si>
  <si>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</si>
  <si>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</si>
  <si>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</si>
  <si>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</si>
  <si>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</si>
  <si>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</si>
  <si>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</si>
  <si>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</si>
  <si>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</si>
  <si>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</si>
  <si>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</si>
  <si>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</si>
  <si>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</si>
  <si>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</si>
  <si>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</si>
  <si>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</si>
  <si>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</si>
  <si>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</si>
  <si>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</si>
  <si>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</si>
  <si>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</si>
  <si>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</si>
  <si>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</si>
  <si>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</si>
  <si>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</si>
  <si>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</si>
  <si>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</si>
  <si>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</si>
  <si>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</si>
  <si>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</si>
  <si>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</si>
  <si>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</si>
  <si>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</si>
  <si>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</si>
  <si>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</si>
  <si>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</si>
  <si>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</si>
  <si>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</si>
  <si>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</si>
  <si>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</si>
  <si>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</si>
  <si>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</si>
  <si>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</si>
  <si>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</si>
  <si>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</si>
  <si>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</si>
  <si>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</si>
  <si>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</si>
  <si>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</si>
  <si>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</si>
  <si>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</si>
  <si>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</si>
  <si>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</si>
  <si>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</si>
  <si>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</si>
  <si>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</si>
  <si>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</si>
  <si>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</si>
  <si>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</si>
  <si>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</si>
  <si>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</si>
  <si>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</si>
  <si>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</si>
  <si>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</si>
  <si>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</si>
  <si>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</si>
  <si>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</si>
  <si>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</si>
  <si>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</si>
  <si>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</si>
  <si>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</si>
  <si>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</si>
  <si>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</si>
  <si>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</si>
  <si>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</si>
  <si>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</si>
  <si>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</si>
  <si>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</si>
  <si>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</si>
  <si>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</si>
  <si>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</si>
  <si>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</si>
  <si>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</si>
  <si>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</si>
  <si>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</si>
  <si>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</si>
  <si>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</si>
  <si>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</si>
  <si>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</si>
  <si>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</si>
  <si>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</si>
  <si>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</si>
  <si>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</si>
  <si>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</si>
  <si>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</si>
  <si>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</si>
  <si>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</si>
  <si>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</si>
  <si>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</si>
  <si>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</si>
  <si>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</si>
  <si>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</si>
  <si>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</si>
  <si>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</si>
  <si>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</si>
  <si>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</si>
  <si>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</si>
  <si>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</si>
  <si>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</si>
  <si>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</si>
  <si>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</si>
  <si>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</si>
  <si>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</si>
  <si>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</si>
  <si>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</si>
  <si>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</si>
  <si>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</si>
  <si>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</si>
  <si>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</si>
  <si>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</si>
  <si>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</si>
  <si>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</si>
  <si>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</si>
  <si>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</si>
  <si>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</si>
  <si>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</si>
  <si>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</si>
  <si>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</si>
  <si>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</si>
  <si>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</si>
  <si>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</si>
  <si>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</si>
  <si>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</si>
  <si>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</si>
  <si>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</si>
  <si>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</si>
  <si>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</si>
  <si>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</si>
  <si>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</si>
  <si>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</si>
  <si>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</si>
  <si>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</si>
  <si>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</si>
  <si>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</si>
  <si>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</si>
  <si>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</si>
  <si>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</si>
  <si>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</si>
  <si>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</si>
  <si>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</si>
  <si>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</si>
  <si>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</si>
  <si>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</si>
  <si>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</si>
  <si>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</si>
  <si>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</si>
  <si>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</si>
  <si>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</si>
  <si>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</si>
  <si>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</si>
  <si>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</si>
  <si>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</si>
  <si>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</si>
  <si>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</si>
  <si>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</si>
  <si>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</si>
  <si>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</si>
  <si>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</si>
  <si>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</si>
  <si>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</si>
  <si>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</si>
  <si>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</si>
  <si>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</si>
  <si>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</si>
  <si>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</si>
  <si>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</si>
  <si>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</si>
  <si>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</si>
  <si>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</si>
  <si>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</si>
  <si>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</si>
  <si>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</si>
  <si>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</si>
  <si>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</si>
  <si>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</si>
  <si>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</si>
  <si>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</si>
  <si>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</si>
  <si>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</si>
  <si>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</si>
  <si>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</si>
  <si>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</si>
  <si>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</si>
  <si>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</si>
  <si>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</si>
  <si>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</si>
  <si>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</si>
  <si>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</si>
  <si>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</si>
  <si>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</si>
  <si>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</si>
  <si>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</si>
  <si>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</si>
  <si>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</si>
  <si>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</si>
  <si>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</si>
  <si>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</si>
  <si>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</si>
  <si>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</si>
  <si>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</si>
  <si>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</si>
  <si>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</si>
  <si>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</si>
  <si>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</si>
  <si>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</si>
  <si>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</si>
  <si>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</si>
  <si>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</si>
  <si>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</si>
  <si>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</si>
  <si>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</si>
  <si>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</si>
  <si>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</si>
  <si>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</si>
  <si>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</si>
  <si>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</si>
  <si>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</si>
  <si>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</si>
  <si>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</si>
  <si>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</si>
  <si>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</si>
  <si>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</si>
  <si>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</si>
  <si>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</si>
  <si>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</si>
  <si>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</si>
  <si>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</si>
  <si>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</si>
  <si>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</si>
  <si>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</si>
  <si>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</si>
  <si>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</si>
  <si>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</si>
  <si>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</si>
  <si>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</si>
  <si>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</si>
  <si>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</si>
  <si>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</si>
  <si>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</si>
  <si>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</si>
  <si>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</si>
  <si>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</si>
  <si>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</si>
  <si>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</si>
  <si>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</si>
  <si>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</si>
  <si>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</si>
  <si>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</si>
  <si>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</si>
  <si>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</si>
  <si>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</si>
  <si>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</si>
  <si>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</si>
  <si>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</si>
  <si>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</si>
  <si>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</si>
  <si>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</si>
  <si>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</si>
  <si>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</si>
  <si>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</si>
  <si>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</si>
  <si>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</si>
  <si>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</si>
  <si>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</si>
  <si>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</si>
  <si>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</si>
  <si>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</si>
  <si>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</si>
  <si>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</si>
  <si>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</si>
  <si>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</si>
  <si>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</si>
  <si>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</si>
  <si>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</si>
  <si>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</si>
  <si>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</si>
  <si>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</si>
  <si>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</si>
  <si>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</si>
  <si>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</si>
  <si>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</si>
  <si>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</si>
  <si>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</si>
  <si>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</si>
  <si>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</si>
  <si>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</si>
  <si>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</si>
  <si>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</si>
  <si>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</si>
  <si>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</si>
  <si>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</si>
  <si>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</si>
  <si>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</si>
  <si>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</si>
  <si>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</si>
  <si>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</si>
  <si>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</si>
  <si>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</si>
  <si>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</si>
  <si>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</si>
  <si>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</si>
  <si>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</si>
  <si>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</si>
  <si>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</si>
  <si>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</si>
  <si>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</si>
  <si>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</si>
  <si>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</si>
  <si>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</si>
  <si>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</si>
  <si>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</si>
  <si>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</si>
  <si>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</si>
  <si>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</si>
  <si>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</si>
  <si>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</si>
  <si>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</si>
  <si>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</si>
  <si>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</si>
  <si>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</si>
  <si>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</si>
  <si>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</si>
  <si>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</si>
  <si>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</si>
  <si>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</si>
  <si>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</si>
  <si>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</si>
  <si>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</si>
  <si>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</si>
  <si>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</si>
  <si>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</si>
  <si>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</si>
  <si>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</si>
  <si>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</si>
  <si>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</si>
  <si>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</si>
  <si>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</si>
  <si>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</si>
  <si>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</si>
  <si>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</si>
  <si>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</si>
  <si>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</si>
  <si>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</si>
  <si>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</si>
  <si>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</si>
  <si>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</si>
  <si>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</si>
  <si>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</si>
  <si>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</si>
  <si>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</si>
  <si>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</si>
  <si>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</si>
  <si>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</si>
  <si>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</si>
  <si>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</si>
  <si>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</si>
  <si>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</si>
  <si>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</si>
  <si>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</si>
  <si>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</si>
  <si>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</si>
  <si>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</si>
  <si>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</si>
  <si>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</si>
  <si>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</si>
  <si>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</si>
  <si>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</si>
  <si>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</si>
  <si>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</si>
  <si>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</si>
  <si>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</si>
  <si>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</si>
  <si>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</si>
  <si>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</si>
  <si>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</si>
  <si>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</si>
  <si>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</si>
  <si>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</si>
  <si>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</si>
  <si>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</si>
  <si>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</si>
  <si>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</si>
  <si>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</si>
  <si>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</si>
  <si>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</si>
  <si>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</si>
  <si>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</si>
  <si>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</si>
  <si>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</si>
  <si>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</si>
  <si>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</si>
  <si>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</si>
  <si>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</si>
  <si>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</si>
  <si>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</si>
  <si>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</si>
  <si>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</si>
  <si>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</si>
  <si>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</si>
  <si>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</si>
  <si>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</si>
  <si>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</si>
  <si>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</si>
  <si>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</si>
  <si>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</si>
  <si>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</si>
  <si>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</si>
  <si>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</si>
  <si>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</si>
  <si>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</si>
  <si>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</si>
  <si>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</si>
  <si>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</si>
  <si>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</si>
  <si>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</si>
  <si>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</si>
  <si>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</si>
  <si>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</si>
  <si>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</si>
  <si>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</si>
  <si>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</si>
  <si>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</si>
  <si>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</si>
  <si>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</si>
  <si>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</si>
  <si>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</si>
  <si>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</si>
  <si>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</si>
  <si>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</si>
  <si>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</si>
  <si>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</si>
  <si>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</si>
  <si>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</si>
  <si>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</si>
  <si>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</si>
  <si>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</si>
  <si>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</si>
  <si>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</si>
  <si>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</si>
  <si>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</si>
  <si>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</si>
  <si>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</si>
  <si>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</si>
  <si>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</si>
  <si>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</si>
  <si>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</si>
  <si>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</si>
  <si>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</si>
  <si>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</si>
  <si>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</si>
  <si>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</si>
  <si>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</si>
  <si>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</si>
  <si>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</si>
  <si>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</si>
  <si>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</si>
  <si>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</si>
  <si>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</si>
  <si>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</si>
  <si>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</si>
  <si>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</si>
  <si>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</si>
  <si>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</si>
  <si>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</si>
  <si>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</si>
  <si>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</si>
  <si>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</si>
  <si>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</si>
  <si>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</si>
  <si>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</si>
  <si>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</si>
  <si>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</si>
  <si>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</si>
  <si>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</si>
  <si>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</si>
  <si>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</si>
  <si>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</si>
  <si>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</si>
  <si>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</si>
  <si>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</si>
  <si>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</si>
  <si>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</si>
  <si>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</si>
  <si>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</si>
  <si>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</si>
  <si>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</si>
  <si>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</si>
  <si>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</si>
  <si>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</si>
  <si>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</si>
  <si>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</si>
  <si>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</si>
  <si>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</si>
  <si>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</si>
  <si>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</si>
  <si>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</si>
  <si>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</si>
  <si>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</si>
  <si>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</si>
  <si>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</si>
  <si>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</si>
  <si>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</si>
  <si>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</si>
  <si>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</si>
  <si>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</si>
  <si>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</si>
  <si>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</si>
  <si>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</si>
  <si>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</si>
  <si>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</si>
  <si>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</si>
  <si>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</si>
  <si>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</si>
  <si>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</si>
  <si>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</si>
  <si>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</si>
  <si>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</si>
  <si>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</si>
  <si>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</si>
  <si>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</si>
  <si>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</si>
  <si>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</si>
  <si>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</si>
  <si>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</si>
  <si>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</si>
  <si>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</si>
  <si>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</si>
  <si>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</si>
  <si>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</si>
  <si>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</si>
  <si>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</si>
  <si>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</si>
  <si>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</si>
  <si>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</si>
  <si>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</si>
  <si>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</si>
  <si>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</si>
  <si>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</si>
  <si>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</si>
  <si>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</si>
  <si>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</si>
  <si>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</si>
  <si>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</si>
  <si>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</si>
  <si>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</si>
  <si>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</si>
  <si>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</si>
  <si>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</si>
  <si>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</si>
  <si>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</si>
  <si>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</si>
  <si>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</si>
  <si>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</si>
  <si>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</si>
  <si>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</si>
  <si>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</si>
  <si>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</si>
  <si>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</si>
  <si>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</si>
  <si>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</si>
  <si>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</si>
  <si>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</si>
  <si>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</si>
  <si>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</si>
  <si>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</si>
  <si>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</si>
  <si>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</si>
  <si>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</si>
  <si>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</si>
  <si>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</si>
  <si>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</si>
  <si>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</si>
  <si>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</si>
  <si>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</si>
  <si>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</si>
  <si>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</si>
  <si>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</si>
  <si>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</si>
  <si>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</si>
  <si>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</si>
  <si>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</si>
  <si>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</si>
  <si>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</si>
  <si>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</si>
  <si>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</si>
  <si>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</si>
  <si>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</si>
  <si>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</si>
  <si>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</si>
  <si>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</si>
  <si>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</si>
  <si>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</si>
  <si>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</si>
  <si>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</si>
  <si>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</si>
  <si>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</si>
  <si>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</si>
  <si>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</si>
  <si>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</si>
  <si>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</si>
  <si>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</si>
  <si>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</si>
  <si>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</si>
  <si>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</si>
  <si>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</si>
  <si>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</si>
  <si>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</si>
  <si>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</si>
  <si>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</si>
  <si>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</si>
  <si>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</si>
  <si>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</si>
  <si>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</si>
  <si>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</si>
  <si>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</si>
  <si>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</si>
  <si>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</si>
  <si>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</si>
  <si>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</si>
  <si>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</si>
  <si>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</si>
  <si>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</si>
  <si>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</si>
  <si>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</si>
  <si>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</si>
  <si>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</si>
  <si>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</si>
  <si>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</si>
  <si>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</si>
  <si>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</si>
  <si>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</si>
  <si>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</si>
  <si>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</si>
  <si>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</si>
  <si>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</si>
  <si>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</si>
  <si>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</si>
  <si>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</si>
  <si>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</si>
  <si>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</si>
  <si>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</si>
  <si>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</si>
  <si>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</si>
  <si>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</si>
  <si>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</si>
  <si>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</si>
  <si>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</si>
  <si>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</si>
  <si>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</si>
  <si>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</si>
  <si>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</si>
  <si>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</si>
  <si>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</si>
  <si>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</si>
  <si>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</si>
  <si>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</si>
  <si>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</si>
  <si>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</si>
  <si>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</si>
  <si>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</si>
  <si>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</si>
  <si>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</si>
  <si>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</si>
  <si>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</si>
  <si>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</si>
  <si>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</si>
  <si>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</si>
  <si>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</si>
  <si>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</si>
  <si>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</si>
  <si>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</si>
  <si>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</si>
  <si>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</si>
  <si>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</si>
  <si>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</si>
  <si>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</si>
  <si>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</si>
  <si>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</si>
  <si>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</si>
  <si>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</si>
  <si>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</si>
  <si>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</si>
  <si>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</si>
  <si>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</si>
  <si>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</si>
  <si>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</si>
  <si>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</si>
  <si>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</si>
  <si>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</si>
  <si>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</si>
  <si>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</si>
  <si>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</si>
  <si>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</si>
  <si>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</si>
  <si>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</si>
  <si>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</si>
  <si>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</si>
  <si>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</si>
  <si>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</si>
  <si>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</si>
  <si>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</si>
  <si>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</si>
  <si>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</si>
  <si>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</si>
  <si>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</si>
  <si>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</si>
  <si>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</si>
  <si>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</si>
  <si>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</si>
  <si>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</si>
  <si>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</si>
  <si>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</si>
  <si>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</si>
  <si>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</si>
  <si>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</si>
  <si>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</si>
  <si>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</si>
  <si>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</si>
  <si>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</si>
  <si>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</si>
  <si>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</si>
  <si>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</si>
  <si>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</si>
  <si>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</si>
  <si>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</si>
  <si>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</si>
  <si>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</si>
  <si>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</si>
  <si>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</si>
  <si>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</si>
  <si>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</si>
  <si>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</si>
  <si>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</si>
  <si>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</si>
  <si>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</si>
  <si>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</si>
  <si>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</si>
  <si>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</si>
  <si>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</si>
  <si>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</si>
  <si>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</si>
  <si>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</si>
  <si>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</si>
  <si>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</si>
  <si>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</si>
  <si>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</si>
  <si>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</si>
  <si>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</si>
  <si>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</si>
  <si>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</si>
  <si>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</si>
  <si>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</si>
  <si>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</si>
  <si>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</si>
  <si>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</si>
  <si>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</si>
  <si>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</si>
  <si>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</si>
  <si>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</si>
  <si>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</si>
  <si>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</si>
  <si>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</si>
  <si>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</si>
  <si>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</si>
  <si>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</si>
  <si>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</si>
  <si>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</si>
  <si>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</si>
  <si>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</si>
  <si>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</si>
  <si>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</si>
  <si>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</si>
  <si>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</si>
  <si>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</si>
  <si>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</si>
  <si>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</si>
  <si>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</si>
  <si>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</si>
  <si>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</si>
  <si>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</si>
  <si>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</si>
  <si>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</si>
  <si>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</si>
  <si>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</si>
  <si>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</si>
  <si>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</si>
  <si>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</si>
  <si>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</si>
  <si>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</si>
  <si>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</si>
  <si>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</si>
  <si>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</si>
  <si>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</si>
  <si>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</si>
  <si>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</si>
  <si>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</si>
  <si>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</si>
  <si>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</si>
  <si>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</si>
  <si>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</si>
  <si>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</si>
  <si>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</si>
  <si>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</si>
  <si>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</si>
  <si>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</si>
  <si>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</si>
  <si>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</si>
  <si>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</si>
  <si>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</si>
  <si>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</si>
  <si>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</si>
  <si>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</si>
  <si>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</si>
  <si>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</si>
  <si>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</si>
  <si>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</si>
  <si>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</si>
  <si>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</si>
  <si>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</si>
  <si>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</si>
  <si>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</si>
  <si>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</si>
  <si>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</si>
  <si>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</si>
  <si>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</si>
  <si>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</si>
  <si>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</si>
  <si>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</si>
  <si>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</si>
  <si>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</si>
  <si>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</si>
  <si>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</si>
  <si>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</si>
  <si>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</si>
  <si>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</si>
  <si>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</si>
  <si>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</si>
  <si>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</si>
  <si>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</si>
  <si>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</si>
  <si>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</si>
  <si>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</si>
  <si>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</si>
  <si>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</si>
  <si>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</si>
  <si>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</si>
  <si>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</si>
  <si>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</si>
  <si>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</si>
  <si>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</si>
  <si>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</si>
  <si>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</si>
  <si>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</si>
  <si>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</si>
  <si>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</si>
  <si>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</si>
  <si>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</si>
  <si>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</si>
  <si>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</si>
  <si>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</si>
  <si>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</si>
  <si>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</si>
  <si>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</si>
  <si>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</si>
  <si>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</si>
  <si>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</si>
  <si>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</si>
  <si>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</si>
  <si>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</si>
  <si>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</si>
  <si>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</si>
  <si>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</si>
  <si>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</si>
  <si>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</si>
  <si>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</si>
  <si>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</si>
  <si>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</si>
  <si>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</si>
  <si>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</si>
  <si>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</si>
  <si>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</si>
  <si>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</si>
  <si>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</si>
  <si>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</si>
  <si>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</si>
  <si>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</si>
  <si>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</si>
  <si>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</si>
  <si>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</si>
  <si>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</si>
  <si>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</si>
  <si>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</si>
  <si>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</si>
  <si>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</si>
  <si>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</si>
  <si>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</si>
  <si>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</si>
  <si>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</si>
  <si>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</si>
  <si>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</si>
  <si>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</si>
  <si>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</si>
  <si>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</si>
  <si>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</si>
  <si>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</si>
  <si>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</si>
  <si>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</si>
  <si>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</si>
  <si>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</si>
  <si>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</si>
  <si>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</si>
  <si>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</si>
  <si>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</si>
  <si>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</si>
  <si>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</si>
  <si>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</si>
  <si>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</si>
  <si>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</si>
  <si>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</si>
  <si>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</si>
  <si>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</si>
  <si>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</si>
  <si>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</si>
  <si>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</si>
  <si>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</si>
  <si>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</si>
  <si>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</si>
  <si>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</si>
  <si>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</si>
  <si>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</si>
  <si>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</si>
  <si>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</si>
  <si>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</si>
  <si>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</si>
  <si>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</si>
  <si>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</si>
  <si>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</si>
  <si>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</si>
  <si>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</si>
  <si>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</si>
  <si>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</si>
  <si>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</si>
  <si>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</si>
  <si>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</si>
  <si>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</si>
  <si>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</si>
  <si>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</si>
  <si>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</si>
  <si>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</si>
  <si>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</si>
  <si>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</si>
  <si>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</si>
  <si>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</si>
  <si>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</si>
  <si>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</si>
  <si>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</si>
  <si>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</si>
  <si>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</si>
  <si>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</si>
  <si>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</si>
  <si>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</si>
  <si>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</si>
  <si>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</si>
  <si>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</si>
  <si>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</si>
  <si>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</si>
  <si>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</si>
  <si>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</si>
  <si>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</si>
  <si>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</si>
  <si>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</si>
  <si>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</si>
  <si>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</si>
  <si>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</si>
  <si>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</si>
  <si>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</si>
  <si>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</si>
  <si>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</si>
  <si>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</si>
  <si>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</si>
  <si>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</si>
  <si>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</si>
  <si>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</si>
  <si>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</si>
  <si>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</si>
  <si>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</si>
  <si>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</si>
  <si>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</si>
  <si>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</si>
  <si>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</si>
  <si>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</si>
  <si>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</si>
  <si>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</si>
  <si>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</si>
  <si>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</si>
  <si>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</si>
  <si>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</si>
  <si>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</si>
  <si>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</si>
  <si>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</si>
  <si>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</si>
  <si>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</si>
  <si>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</si>
  <si>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</si>
  <si>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</si>
  <si>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</si>
  <si>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</si>
  <si>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</si>
  <si>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</si>
  <si>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</si>
  <si>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</si>
  <si>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</si>
  <si>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</si>
  <si>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</si>
  <si>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</si>
  <si>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</si>
  <si>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</si>
  <si>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</si>
  <si>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</si>
  <si>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</si>
  <si>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</si>
  <si>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</si>
  <si>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</si>
  <si>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</si>
  <si>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</si>
  <si>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</si>
  <si>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</si>
  <si>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</si>
  <si>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</si>
  <si>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</si>
  <si>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</si>
  <si>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</si>
  <si>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</si>
  <si>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</si>
  <si>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</si>
  <si>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</si>
  <si>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</si>
  <si>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</si>
  <si>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</si>
  <si>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</si>
  <si>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</si>
  <si>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</si>
  <si>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</si>
  <si>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</si>
  <si>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</si>
  <si>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</si>
  <si>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</si>
  <si>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</si>
  <si>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</si>
  <si>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</si>
  <si>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</si>
  <si>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</si>
  <si>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</si>
  <si>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</si>
  <si>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</si>
  <si>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</si>
  <si>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</si>
  <si>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</si>
  <si>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</si>
  <si>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</si>
  <si>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</si>
  <si>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</si>
  <si>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</si>
  <si>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</si>
  <si>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</si>
  <si>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</si>
  <si>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</si>
  <si>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</si>
  <si>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</si>
  <si>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</si>
  <si>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</si>
  <si>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</si>
  <si>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</si>
  <si>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</si>
  <si>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</si>
  <si>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</si>
  <si>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</si>
  <si>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</si>
  <si>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</si>
  <si>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</si>
  <si>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</si>
  <si>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</si>
  <si>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</si>
  <si>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</si>
  <si>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</si>
  <si>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</si>
  <si>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</si>
  <si>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</si>
  <si>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</si>
  <si>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</si>
  <si>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</si>
  <si>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</si>
  <si>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</si>
  <si>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</si>
  <si>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</si>
  <si>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</si>
  <si>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</si>
  <si>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</si>
  <si>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</si>
  <si>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</si>
  <si>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</si>
  <si>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</si>
  <si>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</si>
  <si>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</si>
  <si>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</si>
  <si>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</si>
  <si>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</si>
  <si>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</si>
  <si>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</si>
  <si>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</si>
  <si>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</si>
  <si>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</si>
  <si>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</si>
  <si>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</si>
  <si>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</si>
  <si>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</si>
  <si>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</si>
  <si>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</si>
  <si>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</si>
  <si>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</si>
  <si>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</si>
  <si>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</si>
  <si>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</si>
  <si>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</si>
  <si>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</si>
  <si>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</si>
  <si>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</si>
  <si>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</si>
  <si>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</si>
  <si>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</si>
  <si>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</si>
  <si>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</si>
  <si>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</si>
  <si>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</si>
  <si>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</si>
  <si>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</si>
  <si>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</si>
  <si>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</si>
  <si>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</si>
  <si>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</si>
  <si>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</si>
  <si>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</si>
  <si>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</si>
  <si>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</si>
  <si>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</si>
  <si>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</si>
  <si>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</si>
  <si>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</si>
  <si>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</si>
  <si>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</si>
  <si>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</si>
  <si>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</si>
  <si>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</si>
  <si>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</si>
  <si>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</si>
  <si>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</si>
  <si>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</si>
  <si>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</si>
  <si>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</si>
  <si>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</si>
  <si>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</si>
  <si>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</si>
  <si>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</si>
  <si>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</si>
  <si>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</si>
  <si>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</si>
  <si>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</si>
  <si>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</si>
  <si>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</si>
  <si>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</si>
  <si>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</si>
  <si>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</si>
  <si>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</si>
  <si>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</si>
  <si>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</si>
  <si>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</si>
  <si>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</si>
  <si>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</si>
  <si>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</si>
  <si>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</si>
  <si>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</si>
  <si>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</si>
  <si>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</si>
  <si>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</si>
  <si>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</si>
  <si>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</si>
  <si>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</si>
  <si>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</si>
  <si>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</si>
  <si>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</si>
  <si>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</si>
  <si>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</si>
  <si>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</si>
  <si>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</si>
  <si>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</si>
  <si>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</si>
  <si>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</si>
  <si>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</si>
  <si>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</si>
  <si>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</si>
  <si>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</si>
  <si>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</si>
  <si>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</si>
  <si>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</si>
  <si>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</si>
  <si>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</si>
  <si>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</si>
  <si>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</si>
  <si>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</si>
  <si>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</si>
  <si>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</si>
  <si>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</si>
  <si>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</si>
  <si>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</si>
  <si>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</si>
  <si>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</si>
  <si>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</si>
  <si>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</si>
  <si>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</si>
  <si>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</si>
  <si>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</si>
  <si>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</si>
  <si>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</si>
  <si>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</si>
  <si>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</si>
  <si>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</si>
  <si>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</si>
  <si>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</si>
  <si>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</si>
  <si>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</si>
  <si>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</si>
  <si>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</si>
  <si>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</si>
  <si>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</si>
  <si>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</si>
  <si>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</si>
  <si>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</si>
  <si>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</si>
  <si>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</si>
  <si>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</si>
  <si>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</si>
  <si>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</si>
  <si>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</si>
  <si>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</si>
  <si>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</si>
  <si>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</si>
  <si>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</si>
  <si>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</si>
  <si>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</si>
  <si>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</si>
  <si>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</si>
  <si>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</si>
  <si>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</si>
  <si>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</si>
  <si>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</si>
  <si>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</si>
  <si>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</si>
  <si>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</si>
  <si>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</si>
  <si>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</si>
  <si>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</si>
  <si>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</si>
  <si>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</si>
  <si>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</si>
  <si>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</si>
  <si>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</si>
  <si>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</si>
  <si>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</si>
  <si>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</si>
  <si>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</si>
  <si>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</si>
  <si>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</si>
  <si>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</si>
  <si>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</si>
  <si>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</si>
  <si>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</si>
  <si>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</si>
  <si>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</si>
  <si>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</si>
  <si>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</si>
  <si>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</si>
  <si>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</si>
  <si>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</si>
  <si>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</si>
  <si>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</si>
  <si>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</si>
  <si>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</si>
  <si>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</si>
  <si>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</si>
  <si>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</si>
  <si>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</si>
  <si>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</si>
  <si>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</si>
  <si>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</si>
  <si>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</si>
  <si>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</si>
  <si>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</si>
  <si>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</si>
  <si>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</si>
  <si>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</si>
  <si>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</si>
  <si>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</si>
  <si>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</si>
  <si>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</si>
  <si>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</si>
  <si>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</si>
  <si>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</si>
  <si>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</si>
  <si>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</si>
  <si>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</si>
  <si>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</si>
  <si>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</si>
  <si>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</si>
  <si>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</si>
  <si>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</si>
  <si>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</si>
  <si>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</si>
  <si>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</si>
  <si>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</si>
  <si>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</si>
  <si>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</si>
  <si>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</si>
  <si>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</si>
  <si>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</si>
  <si>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</si>
  <si>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</si>
  <si>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</si>
  <si>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</si>
  <si>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</si>
  <si>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</si>
  <si>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</si>
  <si>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</si>
  <si>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</si>
  <si>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</si>
  <si>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</si>
  <si>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</si>
  <si>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</si>
  <si>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</si>
  <si>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</si>
  <si>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</si>
  <si>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</si>
  <si>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</si>
  <si>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</si>
  <si>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</si>
  <si>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</si>
  <si>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</si>
  <si>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</si>
  <si>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</si>
  <si>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</si>
  <si>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</si>
  <si>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</si>
  <si>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</si>
  <si>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</si>
  <si>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</si>
  <si>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</si>
  <si>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</si>
  <si>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</si>
  <si>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</si>
  <si>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</si>
  <si>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</si>
  <si>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</si>
  <si>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</si>
  <si>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</si>
  <si>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</si>
  <si>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</si>
  <si>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</si>
  <si>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</si>
  <si>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</si>
  <si>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</si>
  <si>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</si>
  <si>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</si>
  <si>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</si>
  <si>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</si>
  <si>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</si>
  <si>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</si>
  <si>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</si>
  <si>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</si>
  <si>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</si>
  <si>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</si>
  <si>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</si>
  <si>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</si>
  <si>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</si>
  <si>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</si>
  <si>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</si>
  <si>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</si>
  <si>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</si>
  <si>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</si>
  <si>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</si>
  <si>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</si>
  <si>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</si>
  <si>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</si>
  <si>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</si>
  <si>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</si>
  <si>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</si>
  <si>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</si>
  <si>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</si>
  <si>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</si>
  <si>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</si>
  <si>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</si>
  <si>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</si>
  <si>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</si>
  <si>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</si>
  <si>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</si>
  <si>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</si>
  <si>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</si>
  <si>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</si>
  <si>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</si>
  <si>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</si>
  <si>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</si>
  <si>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</si>
  <si>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</si>
  <si>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</si>
  <si>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</si>
  <si>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</si>
  <si>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</si>
  <si>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</si>
  <si>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</si>
  <si>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</si>
  <si>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</si>
  <si>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</si>
  <si>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</si>
  <si>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</si>
  <si>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</si>
  <si>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</si>
  <si>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</si>
  <si>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</si>
  <si>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</si>
  <si>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</si>
  <si>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</si>
  <si>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</si>
  <si>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</si>
  <si>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</si>
  <si>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</si>
  <si>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</si>
  <si>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</si>
  <si>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</si>
  <si>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</si>
  <si>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</si>
  <si>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</si>
  <si>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</si>
  <si>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</si>
  <si>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</si>
  <si>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</si>
  <si>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</si>
  <si>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</si>
  <si>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</si>
  <si>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</si>
  <si>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</si>
  <si>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</si>
  <si>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</si>
  <si>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</si>
  <si>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</si>
  <si>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</si>
  <si>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</si>
  <si>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</si>
  <si>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</si>
  <si>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</si>
  <si>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</si>
  <si>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</si>
  <si>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</si>
  <si>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</si>
  <si>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</si>
  <si>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</si>
  <si>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</si>
  <si>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</si>
  <si>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</si>
  <si>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</si>
  <si>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</si>
  <si>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</si>
  <si>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</si>
  <si>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</si>
  <si>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</si>
  <si>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</si>
  <si>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</si>
  <si>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</si>
  <si>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</si>
  <si>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</si>
  <si>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</si>
  <si>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</si>
  <si>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</si>
  <si>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</si>
  <si>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</si>
  <si>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</si>
  <si>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</si>
  <si>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</si>
  <si>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</si>
  <si>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</si>
  <si>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</si>
  <si>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</si>
  <si>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</si>
  <si>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</si>
  <si>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</si>
  <si>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</si>
  <si>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</si>
  <si>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</si>
  <si>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</si>
  <si>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</si>
  <si>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</si>
  <si>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</si>
  <si>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</si>
  <si>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</si>
  <si>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</si>
  <si>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</si>
  <si>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</si>
  <si>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</si>
  <si>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</si>
  <si>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</si>
  <si>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</si>
  <si>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</si>
  <si>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</si>
  <si>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</si>
  <si>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</si>
  <si>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</si>
  <si>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</si>
  <si>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</si>
  <si>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</si>
  <si>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</si>
  <si>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</si>
  <si>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</si>
  <si>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</si>
  <si>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</si>
  <si>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</si>
  <si>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</si>
  <si>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</si>
  <si>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</si>
  <si>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</si>
  <si>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</si>
  <si>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</si>
  <si>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</si>
  <si>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</si>
  <si>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</si>
  <si>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</si>
  <si>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</si>
  <si>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</si>
  <si>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</si>
  <si>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</si>
  <si>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</si>
  <si>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</si>
  <si>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</si>
  <si>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</si>
  <si>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</si>
  <si>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</si>
  <si>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</si>
  <si>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</si>
  <si>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</si>
  <si>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</si>
  <si>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</si>
  <si>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</si>
  <si>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</si>
  <si>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</si>
  <si>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</si>
  <si>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</si>
  <si>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</si>
  <si>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</si>
  <si>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</si>
  <si>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</si>
  <si>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</si>
  <si>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</si>
  <si>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</si>
  <si>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</si>
  <si>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</si>
  <si>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</si>
  <si>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</si>
  <si>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</si>
  <si>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</si>
  <si>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</si>
  <si>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</si>
  <si>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</si>
  <si>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</si>
  <si>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</si>
  <si>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</si>
  <si>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</si>
  <si>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</si>
  <si>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</si>
  <si>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</si>
  <si>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</si>
  <si>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</si>
  <si>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</si>
  <si>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</si>
  <si>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</si>
  <si>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</si>
  <si>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</si>
  <si>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</si>
  <si>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</si>
  <si>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</si>
  <si>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</si>
  <si>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</si>
  <si>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</si>
  <si>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</si>
  <si>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</si>
  <si>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</si>
  <si>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</si>
  <si>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</si>
  <si>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</si>
  <si>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</si>
  <si>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</si>
  <si>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</si>
  <si>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</si>
  <si>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</si>
  <si>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</si>
  <si>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</si>
  <si>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</si>
  <si>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</si>
  <si>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</si>
  <si>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</si>
  <si>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</si>
  <si>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</si>
  <si>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</si>
  <si>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</si>
  <si>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</si>
  <si>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</si>
  <si>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</si>
  <si>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</si>
  <si>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</si>
  <si>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</si>
  <si>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</si>
  <si>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</si>
  <si>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</si>
  <si>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</si>
  <si>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</si>
  <si>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</si>
  <si>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</si>
  <si>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</si>
  <si>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</si>
  <si>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</si>
  <si>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</si>
  <si>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</si>
  <si>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</si>
  <si>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</si>
  <si>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</si>
  <si>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</si>
  <si>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</si>
  <si>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</si>
  <si>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</si>
  <si>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</si>
  <si>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</si>
  <si>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</si>
  <si>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</si>
  <si>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</si>
  <si>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</si>
  <si>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</si>
  <si>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</si>
  <si>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</si>
  <si>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</si>
  <si>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</si>
  <si>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</si>
  <si>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</si>
  <si>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</si>
  <si>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</si>
  <si>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</si>
  <si>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</si>
  <si>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</si>
  <si>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</si>
  <si>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</si>
  <si>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</si>
  <si>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</si>
  <si>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</si>
  <si>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</si>
  <si>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</si>
  <si>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</si>
  <si>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</si>
  <si>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</si>
  <si>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</si>
  <si>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</si>
  <si>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</si>
  <si>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</si>
  <si>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</si>
  <si>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</si>
  <si>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</si>
  <si>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</si>
  <si>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</si>
  <si>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</si>
  <si>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</si>
  <si>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</si>
  <si>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</si>
  <si>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</si>
  <si>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</si>
  <si>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</si>
  <si>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</si>
  <si>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</si>
  <si>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</si>
  <si>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</si>
  <si>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</si>
  <si>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</si>
  <si>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</si>
  <si>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</si>
  <si>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</si>
  <si>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</si>
  <si>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</si>
  <si>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</si>
  <si>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</si>
  <si>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</si>
  <si>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</si>
  <si>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</si>
  <si>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</si>
  <si>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</si>
  <si>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</si>
  <si>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</si>
  <si>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</si>
  <si>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</si>
  <si>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</si>
  <si>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</si>
  <si>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</si>
  <si>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</si>
  <si>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</si>
  <si>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</si>
  <si>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</si>
  <si>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</si>
  <si>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</si>
  <si>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</si>
  <si>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</si>
  <si>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</si>
  <si>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</si>
  <si>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</si>
  <si>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</si>
  <si>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</si>
  <si>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</si>
  <si>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</si>
  <si>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</si>
  <si>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</si>
  <si>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</si>
  <si>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</si>
  <si>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</si>
  <si>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</si>
  <si>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</si>
  <si>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</si>
  <si>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</si>
  <si>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</si>
  <si>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</si>
  <si>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</si>
  <si>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</si>
  <si>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</si>
  <si>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</si>
  <si>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</si>
  <si>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</si>
  <si>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</si>
  <si>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</si>
  <si>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</si>
  <si>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</si>
  <si>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</si>
  <si>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</si>
  <si>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</si>
  <si>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</si>
  <si>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</si>
  <si>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</si>
  <si>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</si>
  <si>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</si>
  <si>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</si>
  <si>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</si>
  <si>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</si>
  <si>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</si>
  <si>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</si>
  <si>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</si>
  <si>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</si>
  <si>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</si>
  <si>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</si>
  <si>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</si>
  <si>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</si>
  <si>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</si>
  <si>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</si>
  <si>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</si>
  <si>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</si>
  <si>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</si>
  <si>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</si>
  <si>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</si>
  <si>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</si>
  <si>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</si>
  <si>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</si>
  <si>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</si>
  <si>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</si>
  <si>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</si>
  <si>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</si>
  <si>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</si>
  <si>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</si>
  <si>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</si>
  <si>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</si>
  <si>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</si>
  <si>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</si>
  <si>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</si>
  <si>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</si>
  <si>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</si>
  <si>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</si>
  <si>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</si>
  <si>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</si>
  <si>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</si>
  <si>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</si>
  <si>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</si>
  <si>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</si>
  <si>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</si>
  <si>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</si>
  <si>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</si>
  <si>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</si>
  <si>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</si>
  <si>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</si>
  <si>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</si>
  <si>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</si>
  <si>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</si>
  <si>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</si>
  <si>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</si>
  <si>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</si>
  <si>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</si>
  <si>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</si>
  <si>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</si>
  <si>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</si>
  <si>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</si>
  <si>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</si>
  <si>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</si>
  <si>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</si>
  <si>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</si>
  <si>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</si>
  <si>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</si>
  <si>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</si>
  <si>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</si>
  <si>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</si>
  <si>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</si>
  <si>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</si>
  <si>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</si>
  <si>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</si>
  <si>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</si>
  <si>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</si>
  <si>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</si>
  <si>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</si>
  <si>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</si>
  <si>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</si>
  <si>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</si>
  <si>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</si>
  <si>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</si>
  <si>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</si>
  <si>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</si>
  <si>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</si>
  <si>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</si>
  <si>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</si>
  <si>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</si>
  <si>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</si>
  <si>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</si>
  <si>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</si>
  <si>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</si>
  <si>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</si>
  <si>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</si>
  <si>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</si>
  <si>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</si>
  <si>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</si>
  <si>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</si>
  <si>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</si>
  <si>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</si>
  <si>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</si>
  <si>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</si>
  <si>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</si>
  <si>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</si>
  <si>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</si>
  <si>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</si>
  <si>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</si>
  <si>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</si>
  <si>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</si>
  <si>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</si>
  <si>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</si>
  <si>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</si>
  <si>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</si>
  <si>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</si>
  <si>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</si>
  <si>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</si>
  <si>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</si>
  <si>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</si>
  <si>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</si>
  <si>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</si>
  <si>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</si>
  <si>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</si>
  <si>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</si>
  <si>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</si>
  <si>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</si>
  <si>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</si>
  <si>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</si>
  <si>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</si>
  <si>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</si>
  <si>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</si>
  <si>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</si>
  <si>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</si>
  <si>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</si>
  <si>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</si>
  <si>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</si>
  <si>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</si>
  <si>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</si>
  <si>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</si>
  <si>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</si>
  <si>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</si>
  <si>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</si>
  <si>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</si>
  <si>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</si>
  <si>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</si>
  <si>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</si>
  <si>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</si>
  <si>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</si>
  <si>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</si>
  <si>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</si>
  <si>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</si>
  <si>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</si>
  <si>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</si>
  <si>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</si>
  <si>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</si>
  <si>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</si>
  <si>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</si>
  <si>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</si>
  <si>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</si>
  <si>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</si>
  <si>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</si>
  <si>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</si>
  <si>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</si>
  <si>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</si>
  <si>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</si>
  <si>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</si>
  <si>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</si>
  <si>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</si>
  <si>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</si>
  <si>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</si>
  <si>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</si>
  <si>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</si>
  <si>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</si>
  <si>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</si>
  <si>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</si>
  <si>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</si>
  <si>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</si>
  <si>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</si>
  <si>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</si>
  <si>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</si>
  <si>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</si>
  <si>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</si>
  <si>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</si>
  <si>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</si>
  <si>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</si>
  <si>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</si>
  <si>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</si>
  <si>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</si>
  <si>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</si>
  <si>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</si>
  <si>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</si>
  <si>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</si>
  <si>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</si>
  <si>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</si>
  <si>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</si>
  <si>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</si>
  <si>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</si>
  <si>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</si>
  <si>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</si>
  <si>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</si>
  <si>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</si>
  <si>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</si>
  <si>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</si>
  <si>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</si>
  <si>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</si>
  <si>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</si>
  <si>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</si>
  <si>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</si>
  <si>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</si>
  <si>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</si>
  <si>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</si>
  <si>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</si>
  <si>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</si>
  <si>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</si>
  <si>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</si>
  <si>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</si>
  <si>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</si>
  <si>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</si>
  <si>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</si>
  <si>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</si>
  <si>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</si>
  <si>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</si>
  <si>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</si>
  <si>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</si>
  <si>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</si>
  <si>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</si>
  <si>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</si>
  <si>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</si>
  <si>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</si>
  <si>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</si>
  <si>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</si>
  <si>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</si>
  <si>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</si>
  <si>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</si>
  <si>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</si>
  <si>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</si>
  <si>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</si>
  <si>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</si>
  <si>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</si>
  <si>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</si>
  <si>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</si>
  <si>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</si>
  <si>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</si>
  <si>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</si>
  <si>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</si>
  <si>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</si>
  <si>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</si>
  <si>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</si>
  <si>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</si>
  <si>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</si>
  <si>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</si>
  <si>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</si>
  <si>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</si>
  <si>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</si>
  <si>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</si>
  <si>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</si>
  <si>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</si>
  <si>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</si>
  <si>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</si>
  <si>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</si>
  <si>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</si>
  <si>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</si>
  <si>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</si>
  <si>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</si>
  <si>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</si>
  <si>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</si>
  <si>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</si>
  <si>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</si>
  <si>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</si>
  <si>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</si>
  <si>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</si>
  <si>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</si>
  <si>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</si>
  <si>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</si>
  <si>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</si>
  <si>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</si>
  <si>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</si>
  <si>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</si>
  <si>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</si>
  <si>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</si>
  <si>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</si>
  <si>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</si>
  <si>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</si>
  <si>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</si>
  <si>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</si>
  <si>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</si>
  <si>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</si>
  <si>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</si>
  <si>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</si>
  <si>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</si>
  <si>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</si>
  <si>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</si>
  <si>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</si>
  <si>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</si>
  <si>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</si>
  <si>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</si>
  <si>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</si>
  <si>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</si>
  <si>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</si>
  <si>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</si>
  <si>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</si>
  <si>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</si>
  <si>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</si>
  <si>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</si>
  <si>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</si>
  <si>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</si>
  <si>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</si>
  <si>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</si>
  <si>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</si>
  <si>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</si>
  <si>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</si>
  <si>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</si>
  <si>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</si>
  <si>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</si>
  <si>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</si>
  <si>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</si>
  <si>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</si>
  <si>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</si>
  <si>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</si>
  <si>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</si>
  <si>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</si>
  <si>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</si>
  <si>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</si>
  <si>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</si>
  <si>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</si>
  <si>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</si>
  <si>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</si>
  <si>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</si>
  <si>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</si>
  <si>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</si>
  <si>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</si>
  <si>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</si>
  <si>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</si>
  <si>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</si>
  <si>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</si>
  <si>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</si>
  <si>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</si>
  <si>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</si>
  <si>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</si>
  <si>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</si>
  <si>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</si>
  <si>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</si>
  <si>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</si>
  <si>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</si>
  <si>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</si>
  <si>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</si>
  <si>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</si>
  <si>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</si>
  <si>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</si>
  <si>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</si>
  <si>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</si>
  <si>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</si>
  <si>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</si>
  <si>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</si>
  <si>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</si>
  <si>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</si>
  <si>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</si>
  <si>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</si>
  <si>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</si>
  <si>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</si>
  <si>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</si>
  <si>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</si>
  <si>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</si>
  <si>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</si>
  <si>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</si>
  <si>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</si>
  <si>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</si>
  <si>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</si>
  <si>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</si>
  <si>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</si>
  <si>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</si>
  <si>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</si>
  <si>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</si>
  <si>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</si>
  <si>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</si>
  <si>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</si>
  <si>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</si>
  <si>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</si>
  <si>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</si>
  <si>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</si>
  <si>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</si>
  <si>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</si>
  <si>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</si>
  <si>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</si>
  <si>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</si>
  <si>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</si>
  <si>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</si>
  <si>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</si>
  <si>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</si>
  <si>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</si>
  <si>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</si>
  <si>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</si>
  <si>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</si>
  <si>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</si>
  <si>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</si>
  <si>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</si>
  <si>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</si>
  <si>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</si>
  <si>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</si>
  <si>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</si>
  <si>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</si>
  <si>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</si>
  <si>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</si>
  <si>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</si>
  <si>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</si>
  <si>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</si>
  <si>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</si>
  <si>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</si>
  <si>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</si>
  <si>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</si>
  <si>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</si>
  <si>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</si>
  <si>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</si>
  <si>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</si>
  <si>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</si>
  <si>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</si>
  <si>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</si>
  <si>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</si>
  <si>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</si>
  <si>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</si>
  <si>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</si>
  <si>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</si>
  <si>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</si>
  <si>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</si>
  <si>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</si>
  <si>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</si>
  <si>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</si>
  <si>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</si>
  <si>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</si>
  <si>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</si>
  <si>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</si>
  <si>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</si>
  <si>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</si>
  <si>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</si>
  <si>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</si>
  <si>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</si>
  <si>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</si>
  <si>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</si>
  <si>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</si>
  <si>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</si>
  <si>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</si>
  <si>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</si>
  <si>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</si>
  <si>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</si>
  <si>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</si>
  <si>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</si>
  <si>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</si>
  <si>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</si>
  <si>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</si>
  <si>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</si>
  <si>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</si>
  <si>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</si>
  <si>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</si>
  <si>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</si>
  <si>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</si>
  <si>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</si>
  <si>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</si>
  <si>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</si>
  <si>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</si>
  <si>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</si>
  <si>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</si>
  <si>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</si>
  <si>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</si>
  <si>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</si>
  <si>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</si>
  <si>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</si>
  <si>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</si>
  <si>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</si>
  <si>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</si>
  <si>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</si>
  <si>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</si>
  <si>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</si>
  <si>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</si>
  <si>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</si>
  <si>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</si>
  <si>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</si>
  <si>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</si>
  <si>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</si>
  <si>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</si>
  <si>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</si>
  <si>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</si>
  <si>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</si>
  <si>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</si>
  <si>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</si>
  <si>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</si>
  <si>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</si>
  <si>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</si>
  <si>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</si>
  <si>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</si>
  <si>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</si>
  <si>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</si>
  <si>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</si>
  <si>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</si>
  <si>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</si>
  <si>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</si>
  <si>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</si>
  <si>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</si>
  <si>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</si>
  <si>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</si>
  <si>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</si>
  <si>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</si>
  <si>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</si>
  <si>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</si>
  <si>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</si>
  <si>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</si>
  <si>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</si>
  <si>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</si>
  <si>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</si>
  <si>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</si>
  <si>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</si>
  <si>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</si>
  <si>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</si>
  <si>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</si>
  <si>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</si>
  <si>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</si>
  <si>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</si>
  <si>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</si>
  <si>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</si>
  <si>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</si>
  <si>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</si>
  <si>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</si>
  <si>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</si>
  <si>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</si>
  <si>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</si>
  <si>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</si>
  <si>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</si>
  <si>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</si>
  <si>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</si>
  <si>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</si>
  <si>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</si>
  <si>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</si>
  <si>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</si>
  <si>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</si>
  <si>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</si>
  <si>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</si>
  <si>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</si>
  <si>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</si>
  <si>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</si>
  <si>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</si>
  <si>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</si>
  <si>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</si>
  <si>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</si>
  <si>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</si>
  <si>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</si>
  <si>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</si>
  <si>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</si>
  <si>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</si>
  <si>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</si>
  <si>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</si>
  <si>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</si>
  <si>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</si>
  <si>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</si>
  <si>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</si>
  <si>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</si>
  <si>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</si>
  <si>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</si>
  <si>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</si>
  <si>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</si>
  <si>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</si>
  <si>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</si>
  <si>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</si>
  <si>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</si>
  <si>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</si>
  <si>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</si>
  <si>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</si>
  <si>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</si>
  <si>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</si>
  <si>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</si>
  <si>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</si>
  <si>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</si>
  <si>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</si>
  <si>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</si>
  <si>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</si>
  <si>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</si>
  <si>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</si>
  <si>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</si>
  <si>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</si>
  <si>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</si>
  <si>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</si>
  <si>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</si>
  <si>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</si>
  <si>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</si>
  <si>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</si>
  <si>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</si>
  <si>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</si>
  <si>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</si>
  <si>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</si>
  <si>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</si>
  <si>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</si>
  <si>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</si>
  <si>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</si>
  <si>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</si>
  <si>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</si>
  <si>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</si>
  <si>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</si>
  <si>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</si>
  <si>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</si>
  <si>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</si>
  <si>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</si>
  <si>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</si>
  <si>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</si>
  <si>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</si>
  <si>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</si>
  <si>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</si>
  <si>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</si>
  <si>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</si>
  <si>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</si>
  <si>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</si>
  <si>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</si>
  <si>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</si>
  <si>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</si>
  <si>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</si>
  <si>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</si>
  <si>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</si>
  <si>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</si>
  <si>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</si>
  <si>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</si>
  <si>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</si>
  <si>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</si>
  <si>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</si>
  <si>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</si>
  <si>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</si>
  <si>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</si>
  <si>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</si>
  <si>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</si>
  <si>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</si>
  <si>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</si>
  <si>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</si>
  <si>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</si>
  <si>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</si>
  <si>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</si>
  <si>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</si>
  <si>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</si>
  <si>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</si>
  <si>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</si>
  <si>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</si>
  <si>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</si>
  <si>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</si>
  <si>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</si>
  <si>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</si>
  <si>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</si>
  <si>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</si>
  <si>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</si>
  <si>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</si>
  <si>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</si>
  <si>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</si>
  <si>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</si>
  <si>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</si>
  <si>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</si>
  <si>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</si>
  <si>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</si>
  <si>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</si>
  <si>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</si>
  <si>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</si>
  <si>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</si>
  <si>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</si>
  <si>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</si>
  <si>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</si>
  <si>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</si>
  <si>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</si>
  <si>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</si>
  <si>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</si>
  <si>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</si>
  <si>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</si>
  <si>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</si>
  <si>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</si>
  <si>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</si>
  <si>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</si>
  <si>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</si>
  <si>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</si>
  <si>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</si>
  <si>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</si>
  <si>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</si>
  <si>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</si>
  <si>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</si>
  <si>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</si>
  <si>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</si>
  <si>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</si>
  <si>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</si>
  <si>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</si>
  <si>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</si>
  <si>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</si>
  <si>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</si>
  <si>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</si>
  <si>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</si>
  <si>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</si>
  <si>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</si>
  <si>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</si>
  <si>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</si>
  <si>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</si>
  <si>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</si>
  <si>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</si>
  <si>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</si>
  <si>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</si>
  <si>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</si>
  <si>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</si>
  <si>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</si>
  <si>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</si>
  <si>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</si>
  <si>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</si>
  <si>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</si>
  <si>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</si>
  <si>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</si>
  <si>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</si>
  <si>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</si>
  <si>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</si>
  <si>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</si>
  <si>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</si>
  <si>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</si>
  <si>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</si>
  <si>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</si>
  <si>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</si>
  <si>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</si>
  <si>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</si>
  <si>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</si>
  <si>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</si>
  <si>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</si>
  <si>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</si>
  <si>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</si>
  <si>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</si>
  <si>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</si>
  <si>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</si>
  <si>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</si>
  <si>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</si>
  <si>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</si>
  <si>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</si>
  <si>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</si>
  <si>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</si>
  <si>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</si>
  <si>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</si>
  <si>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</si>
  <si>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</si>
  <si>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</si>
  <si>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</si>
  <si>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</si>
  <si>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</si>
  <si>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</si>
  <si>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</si>
  <si>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</si>
  <si>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</si>
  <si>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</si>
  <si>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</si>
  <si>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</si>
  <si>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</si>
  <si>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</si>
  <si>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</si>
  <si>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</si>
  <si>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</si>
  <si>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</si>
  <si>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</si>
  <si>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</si>
  <si>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</si>
  <si>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</si>
  <si>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</si>
  <si>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</si>
  <si>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</si>
  <si>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</si>
  <si>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</si>
  <si>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</si>
  <si>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</si>
  <si>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</si>
  <si>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</si>
  <si>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</si>
  <si>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</si>
  <si>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</si>
  <si>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</si>
  <si>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</si>
  <si>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</si>
  <si>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</si>
  <si>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</si>
  <si>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</si>
  <si>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</si>
  <si>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</si>
  <si>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</si>
  <si>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</si>
  <si>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</si>
  <si>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</si>
  <si>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</si>
  <si>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</si>
  <si>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</si>
  <si>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</si>
  <si>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</si>
  <si>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</si>
  <si>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</si>
  <si>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</si>
  <si>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</si>
  <si>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</si>
  <si>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</si>
  <si>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</si>
  <si>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</si>
  <si>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</si>
  <si>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</si>
  <si>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</si>
  <si>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</si>
  <si>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</si>
  <si>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</si>
  <si>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</si>
  <si>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</si>
  <si>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</si>
  <si>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</si>
  <si>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</si>
  <si>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</si>
  <si>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</si>
  <si>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</si>
  <si>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</si>
  <si>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</si>
  <si>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</si>
  <si>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</si>
  <si>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</si>
  <si>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</si>
  <si>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</si>
  <si>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</si>
  <si>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</si>
  <si>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</si>
  <si>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</si>
  <si>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</si>
  <si>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</si>
  <si>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</si>
  <si>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</si>
  <si>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</si>
  <si>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</si>
  <si>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</si>
  <si>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</si>
  <si>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</si>
  <si>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</si>
  <si>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</si>
  <si>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</si>
  <si>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</si>
  <si>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</si>
  <si>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</si>
  <si>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</si>
  <si>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</si>
  <si>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</si>
  <si>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</si>
  <si>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</si>
  <si>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</si>
  <si>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</si>
  <si>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</si>
  <si>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</si>
  <si>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</si>
  <si>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</si>
  <si>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</si>
  <si>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</si>
  <si>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</si>
  <si>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</si>
  <si>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</si>
  <si>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</si>
  <si>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</si>
  <si>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</si>
  <si>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</si>
  <si>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</si>
  <si>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</si>
  <si>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</si>
  <si>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</si>
  <si>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</si>
  <si>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</si>
  <si>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</si>
  <si>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</si>
  <si>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</si>
  <si>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</si>
  <si>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</si>
  <si>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</si>
  <si>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</si>
  <si>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</si>
  <si>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</si>
  <si>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</si>
  <si>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</si>
  <si>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</si>
  <si>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</si>
  <si>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</si>
  <si>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</si>
  <si>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</si>
  <si>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</si>
  <si>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</si>
  <si>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</si>
  <si>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</si>
  <si>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</si>
  <si>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</si>
  <si>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</si>
  <si>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</si>
  <si>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</si>
  <si>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</si>
  <si>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</si>
  <si>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</si>
  <si>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</si>
  <si>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</si>
  <si>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</si>
  <si>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</si>
  <si>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</si>
  <si>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</si>
  <si>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</si>
  <si>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</si>
  <si>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</si>
  <si>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</si>
  <si>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</si>
  <si>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</si>
  <si>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</si>
  <si>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</si>
  <si>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</si>
  <si>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</si>
  <si>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</si>
  <si>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</si>
  <si>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</si>
  <si>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</si>
  <si>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</si>
  <si>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</si>
  <si>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</si>
  <si>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</si>
  <si>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</si>
  <si>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</si>
  <si>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</si>
  <si>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</si>
  <si>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</si>
  <si>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</si>
  <si>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</si>
  <si>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</si>
  <si>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</si>
  <si>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</si>
  <si>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</si>
  <si>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</si>
  <si>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</si>
  <si>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</si>
  <si>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</si>
  <si>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</si>
  <si>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</si>
  <si>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</si>
  <si>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</si>
  <si>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</si>
  <si>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</si>
  <si>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</si>
  <si>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</si>
  <si>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</si>
  <si>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</si>
  <si>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</si>
  <si>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</si>
  <si>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</si>
  <si>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</si>
  <si>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</si>
  <si>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</si>
  <si>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</si>
  <si>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</si>
  <si>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</si>
  <si>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</si>
  <si>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</si>
  <si>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</si>
  <si>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</si>
  <si>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</si>
  <si>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</si>
  <si>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</si>
  <si>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</si>
  <si>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</si>
  <si>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</si>
  <si>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</si>
  <si>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</si>
  <si>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</si>
  <si>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</si>
  <si>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</si>
  <si>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</si>
  <si>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</si>
  <si>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</si>
  <si>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</si>
  <si>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</si>
  <si>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</si>
  <si>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</si>
  <si>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</si>
  <si>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</si>
  <si>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</si>
  <si>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</si>
  <si>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</si>
  <si>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</si>
  <si>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</si>
  <si>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</si>
  <si>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</si>
  <si>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</si>
  <si>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</si>
  <si>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</si>
  <si>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</si>
  <si>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</si>
  <si>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</si>
  <si>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</si>
  <si>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</si>
  <si>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</si>
  <si>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</si>
  <si>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</si>
  <si>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</si>
  <si>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</si>
  <si>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</si>
  <si>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</si>
  <si>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</si>
  <si>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</si>
  <si>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</si>
  <si>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</si>
  <si>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</si>
  <si>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</si>
  <si>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</si>
  <si>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</si>
  <si>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</si>
  <si>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</si>
  <si>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</si>
  <si>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</si>
  <si>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</si>
  <si>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</si>
  <si>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</si>
  <si>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</si>
  <si>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</si>
  <si>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</si>
  <si>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</si>
  <si>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</si>
  <si>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</si>
  <si>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</si>
  <si>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</si>
  <si>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</si>
  <si>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</si>
  <si>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</si>
  <si>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</si>
  <si>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</si>
  <si>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</si>
  <si>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</si>
  <si>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</si>
  <si>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</si>
  <si>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</si>
  <si>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</si>
  <si>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</si>
  <si>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</si>
  <si>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</si>
  <si>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</si>
  <si>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</si>
  <si>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</si>
  <si>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</si>
  <si>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</si>
  <si>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</si>
  <si>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</si>
  <si>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</si>
  <si>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</si>
  <si>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</si>
  <si>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</si>
  <si>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</si>
  <si>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</si>
  <si>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</si>
  <si>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</si>
  <si>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</si>
  <si>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</si>
  <si>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</si>
  <si>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</si>
  <si>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</si>
  <si>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</si>
  <si>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</si>
  <si>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</si>
  <si>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</si>
  <si>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</si>
  <si>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</si>
  <si>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</si>
  <si>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</si>
  <si>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</si>
  <si>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</si>
  <si>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</si>
  <si>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</si>
  <si>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</si>
  <si>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</si>
  <si>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</si>
  <si>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</si>
  <si>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</si>
  <si>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</si>
  <si>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</si>
  <si>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</si>
  <si>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</si>
  <si>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</si>
  <si>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</si>
  <si>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</si>
  <si>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</si>
  <si>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</si>
  <si>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</si>
  <si>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</si>
  <si>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</si>
  <si>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</si>
  <si>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</si>
  <si>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</si>
  <si>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</si>
  <si>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</si>
  <si>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</si>
  <si>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</si>
  <si>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</si>
  <si>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</si>
  <si>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</si>
  <si>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</si>
  <si>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</si>
  <si>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</si>
  <si>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</si>
  <si>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</si>
  <si>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</si>
  <si>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</si>
  <si>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</si>
  <si>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</si>
  <si>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</si>
  <si>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</si>
  <si>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</si>
  <si>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</si>
  <si>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</si>
  <si>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</si>
  <si>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</si>
  <si>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</si>
  <si>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</si>
  <si>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</si>
  <si>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</si>
  <si>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</si>
  <si>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</si>
  <si>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</si>
  <si>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</si>
  <si>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</si>
  <si>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</si>
  <si>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</si>
  <si>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</si>
  <si>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</si>
  <si>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</si>
  <si>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</si>
  <si>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</si>
  <si>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</si>
  <si>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</si>
  <si>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</si>
  <si>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</si>
  <si>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</si>
  <si>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</si>
  <si>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</si>
  <si>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</si>
  <si>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</si>
  <si>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</si>
  <si>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</si>
  <si>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</si>
  <si>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</si>
  <si>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</si>
  <si>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</si>
  <si>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</si>
  <si>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</si>
  <si>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</si>
  <si>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</si>
  <si>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</si>
  <si>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</si>
  <si>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</si>
  <si>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</si>
  <si>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</si>
  <si>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</si>
  <si>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</si>
  <si>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</si>
  <si>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</si>
  <si>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</si>
  <si>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</si>
  <si>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</si>
  <si>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</si>
  <si>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</si>
  <si>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</si>
  <si>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</si>
  <si>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</si>
  <si>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</si>
  <si>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</si>
  <si>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</si>
  <si>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</si>
  <si>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</si>
  <si>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</si>
  <si>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</si>
  <si>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</si>
  <si>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</si>
  <si>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</si>
  <si>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</si>
  <si>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</si>
  <si>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</si>
  <si>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</si>
  <si>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</si>
  <si>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</si>
  <si>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</si>
  <si>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</si>
  <si>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</si>
  <si>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</si>
  <si>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</si>
  <si>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</si>
  <si>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</si>
  <si>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</si>
  <si>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</si>
  <si>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</si>
  <si>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</si>
  <si>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</si>
  <si>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</si>
  <si>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</si>
  <si>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</si>
  <si>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</si>
  <si>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</si>
  <si>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</si>
  <si>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</si>
  <si>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</si>
  <si>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</si>
  <si>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</si>
  <si>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</si>
  <si>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</si>
  <si>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</si>
  <si>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</si>
  <si>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</si>
  <si>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</si>
  <si>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</si>
  <si>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</si>
  <si>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</si>
  <si>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</si>
  <si>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</si>
  <si>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</si>
  <si>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</si>
  <si>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</si>
  <si>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</si>
  <si>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</si>
  <si>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</si>
  <si>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</si>
  <si>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</si>
  <si>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</si>
  <si>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</si>
  <si>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</si>
  <si>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</si>
  <si>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</si>
  <si>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</si>
  <si>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</si>
  <si>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</si>
  <si>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</si>
  <si>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</si>
  <si>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</si>
  <si>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</si>
  <si>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</si>
  <si>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</si>
  <si>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</si>
  <si>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</si>
  <si>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</si>
  <si>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</si>
  <si>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</si>
  <si>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</si>
  <si>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</si>
  <si>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</si>
  <si>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</si>
  <si>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</si>
  <si>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</si>
  <si>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</si>
  <si>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</si>
  <si>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</si>
  <si>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</si>
  <si>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</si>
  <si>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</si>
  <si>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</si>
  <si>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</si>
  <si>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</si>
  <si>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</si>
  <si>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</si>
  <si>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</si>
  <si>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</si>
  <si>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</si>
  <si>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</si>
  <si>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</si>
  <si>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</si>
  <si>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</si>
  <si>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</si>
  <si>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</si>
  <si>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</si>
  <si>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</si>
  <si>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</si>
  <si>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</si>
  <si>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</si>
  <si>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</si>
  <si>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</si>
  <si>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</si>
  <si>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</si>
  <si>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</si>
  <si>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</si>
  <si>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</si>
  <si>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</si>
  <si>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</si>
  <si>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</si>
  <si>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</si>
  <si>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</si>
  <si>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</si>
  <si>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</si>
  <si>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</si>
  <si>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</si>
  <si>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</si>
  <si>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</si>
  <si>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</si>
  <si>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</si>
  <si>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</si>
  <si>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</si>
  <si>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</si>
  <si>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</si>
  <si>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</si>
  <si>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</si>
  <si>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</si>
  <si>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</si>
  <si>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</si>
  <si>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</si>
  <si>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</si>
  <si>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</si>
  <si>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</si>
  <si>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</si>
  <si>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</si>
  <si>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</si>
  <si>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</si>
  <si>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</si>
  <si>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</si>
  <si>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</si>
  <si>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</si>
  <si>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</si>
  <si>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</si>
  <si>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</si>
  <si>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</si>
  <si>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</si>
  <si>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</si>
  <si>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</si>
  <si>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</si>
  <si>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</si>
  <si>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</si>
  <si>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</si>
  <si>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</si>
  <si>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</si>
  <si>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</si>
  <si>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</si>
  <si>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</si>
  <si>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</si>
  <si>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</si>
  <si>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</si>
  <si>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</si>
  <si>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</si>
  <si>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</si>
  <si>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</si>
  <si>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</si>
  <si>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</si>
  <si>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</si>
  <si>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</si>
  <si>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</si>
  <si>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</si>
  <si>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</si>
  <si>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</si>
  <si>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</si>
  <si>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</si>
  <si>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</si>
  <si>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</si>
  <si>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</si>
  <si>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</si>
  <si>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</si>
  <si>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</si>
  <si>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</si>
  <si>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</si>
  <si>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</si>
  <si>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</si>
  <si>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</si>
  <si>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</si>
  <si>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</si>
  <si>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</si>
  <si>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</si>
  <si>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</si>
  <si>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</si>
  <si>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</si>
  <si>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</si>
  <si>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</si>
  <si>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</si>
  <si>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</si>
  <si>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</si>
  <si>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</si>
  <si>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</si>
  <si>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</si>
  <si>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</si>
  <si>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</si>
  <si>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</si>
  <si>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</si>
  <si>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</si>
  <si>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</si>
  <si>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</si>
  <si>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</si>
  <si>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</si>
  <si>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</si>
  <si>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</si>
  <si>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</si>
  <si>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</si>
  <si>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</si>
  <si>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</si>
  <si>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</si>
  <si>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</si>
  <si>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</si>
  <si>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</si>
  <si>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</si>
  <si>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</si>
  <si>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</si>
  <si>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</si>
  <si>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</si>
  <si>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</si>
  <si>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</si>
  <si>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</si>
  <si>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</si>
  <si>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</si>
  <si>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</si>
  <si>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</si>
  <si>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</si>
  <si>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</si>
  <si>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</si>
  <si>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</si>
  <si>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</si>
  <si>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</si>
  <si>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</si>
  <si>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</si>
  <si>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</si>
  <si>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</si>
  <si>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</si>
  <si>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</si>
  <si>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</si>
  <si>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</si>
  <si>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</si>
  <si>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</si>
  <si>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</si>
  <si>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</si>
  <si>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</si>
  <si>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</si>
  <si>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</si>
  <si>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</si>
  <si>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</si>
  <si>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</si>
  <si>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</si>
  <si>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</si>
  <si>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</si>
  <si>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</si>
  <si>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</si>
  <si>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</si>
  <si>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</si>
  <si>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</si>
  <si>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</si>
  <si>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</si>
  <si>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</si>
  <si>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</si>
  <si>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</si>
  <si>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</si>
  <si>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</si>
  <si>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</si>
  <si>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</si>
  <si>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</si>
  <si>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</si>
  <si>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</si>
  <si>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</si>
  <si>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</si>
  <si>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</si>
  <si>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</si>
  <si>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</si>
  <si>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</si>
  <si>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</si>
  <si>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</si>
  <si>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</si>
  <si>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</si>
  <si>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</si>
  <si>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</si>
  <si>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</si>
  <si>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</si>
  <si>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</si>
  <si>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</si>
  <si>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</si>
  <si>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</si>
  <si>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</si>
  <si>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</si>
  <si>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</si>
  <si>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</si>
  <si>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</si>
  <si>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</si>
  <si>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</si>
  <si>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</si>
  <si>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</si>
  <si>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</si>
  <si>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</si>
  <si>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</si>
  <si>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</si>
  <si>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</si>
  <si>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</si>
  <si>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</si>
  <si>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</si>
  <si>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</si>
  <si>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</si>
  <si>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</si>
  <si>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</si>
  <si>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</si>
  <si>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</si>
  <si>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</si>
  <si>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</si>
  <si>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</si>
  <si>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</si>
  <si>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</si>
  <si>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</si>
  <si>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</si>
  <si>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</si>
  <si>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</si>
  <si>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</si>
  <si>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</si>
  <si>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</si>
  <si>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</si>
  <si>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</si>
  <si>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</si>
  <si>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</si>
  <si>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</si>
  <si>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</si>
  <si>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</si>
  <si>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</si>
  <si>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</si>
  <si>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</si>
  <si>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</si>
  <si>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</si>
  <si>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</si>
  <si>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</si>
  <si>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</si>
  <si>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</si>
  <si>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</si>
  <si>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</si>
  <si>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</si>
  <si>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</si>
  <si>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</si>
  <si>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</si>
  <si>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</si>
  <si>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</si>
  <si>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</si>
  <si>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</si>
  <si>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</si>
  <si>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</si>
  <si>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</si>
  <si>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</si>
  <si>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</si>
  <si>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</si>
  <si>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</si>
  <si>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</si>
  <si>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</si>
  <si>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</si>
  <si>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</si>
  <si>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</si>
  <si>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</si>
  <si>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</si>
  <si>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</si>
  <si>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</si>
  <si>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</si>
  <si>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</si>
  <si>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</si>
  <si>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</si>
  <si>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</si>
  <si>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</si>
  <si>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</si>
  <si>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</si>
  <si>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</si>
  <si>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</si>
  <si>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</si>
  <si>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</si>
  <si>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</si>
  <si>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</si>
  <si>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</si>
  <si>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</si>
  <si>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</si>
  <si>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</si>
  <si>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</si>
  <si>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</si>
  <si>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</si>
  <si>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</si>
  <si>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</si>
  <si>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</si>
  <si>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</si>
  <si>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</si>
  <si>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</si>
  <si>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</si>
  <si>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</si>
  <si>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</si>
  <si>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</si>
  <si>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</si>
  <si>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</si>
  <si>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</si>
  <si>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</si>
  <si>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</si>
  <si>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</si>
  <si>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</si>
  <si>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</si>
  <si>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</si>
  <si>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</si>
  <si>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</si>
  <si>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</si>
  <si>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</si>
  <si>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</si>
  <si>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</si>
  <si>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</si>
  <si>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</si>
  <si>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</si>
  <si>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</si>
  <si>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</si>
  <si>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</si>
  <si>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</si>
  <si>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</si>
  <si>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</si>
  <si>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</si>
  <si>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</si>
  <si>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</si>
  <si>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</si>
  <si>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</si>
  <si>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</si>
  <si>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</si>
  <si>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</si>
  <si>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</si>
  <si>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</si>
  <si>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</si>
  <si>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</si>
  <si>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</si>
  <si>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</si>
  <si>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</si>
  <si>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</si>
  <si>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</si>
  <si>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</si>
  <si>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</si>
  <si>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</si>
  <si>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</si>
  <si>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</si>
  <si>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</si>
  <si>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</si>
  <si>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</si>
  <si>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</si>
  <si>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</si>
  <si>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</si>
  <si>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</si>
  <si>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</si>
  <si>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</si>
  <si>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</si>
  <si>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</si>
  <si>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</si>
  <si>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</si>
  <si>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</si>
  <si>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</si>
  <si>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</si>
  <si>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</si>
  <si>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</si>
  <si>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</si>
  <si>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</si>
  <si>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</si>
  <si>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</si>
  <si>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</si>
  <si>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</si>
  <si>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</si>
  <si>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</si>
  <si>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</si>
  <si>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</si>
  <si>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</si>
  <si>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</si>
  <si>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</si>
  <si>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</si>
  <si>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</si>
  <si>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</si>
  <si>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</si>
  <si>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</si>
  <si>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</si>
  <si>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</si>
  <si>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</si>
  <si>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</si>
  <si>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</si>
  <si>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</si>
  <si>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</si>
  <si>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</si>
  <si>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</si>
  <si>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</si>
  <si>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</si>
  <si>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</si>
  <si>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</si>
  <si>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</si>
  <si>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</si>
  <si>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</si>
  <si>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</si>
  <si>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</si>
  <si>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</si>
  <si>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</si>
  <si>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</si>
  <si>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</si>
  <si>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</si>
  <si>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</si>
  <si>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</si>
  <si>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</si>
  <si>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</si>
  <si>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</si>
  <si>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</si>
  <si>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</si>
  <si>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</si>
  <si>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</si>
  <si>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</si>
  <si>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</si>
  <si>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</si>
  <si>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</si>
  <si>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</si>
  <si>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</si>
  <si>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</si>
  <si>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</si>
  <si>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</si>
  <si>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</si>
  <si>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</si>
  <si>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</si>
  <si>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</si>
  <si>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</si>
  <si>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</si>
  <si>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</si>
  <si>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</si>
  <si>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</si>
  <si>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</si>
  <si>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</si>
  <si>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</si>
  <si>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</si>
  <si>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</si>
  <si>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</si>
  <si>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</si>
  <si>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</si>
  <si>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</si>
  <si>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</si>
  <si>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</si>
  <si>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</si>
  <si>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</si>
  <si>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</si>
  <si>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</si>
  <si>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</si>
  <si>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</si>
  <si>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</si>
  <si>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</si>
  <si>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</si>
  <si>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</si>
  <si>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</si>
  <si>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</si>
  <si>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</si>
  <si>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</si>
  <si>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</si>
  <si>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</si>
  <si>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</si>
  <si>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</si>
  <si>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</si>
  <si>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</si>
  <si>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</si>
  <si>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</si>
  <si>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</si>
  <si>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</si>
  <si>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</si>
  <si>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</si>
  <si>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</si>
  <si>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</si>
  <si>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</si>
  <si>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</si>
  <si>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</si>
  <si>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</si>
  <si>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</si>
  <si>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</si>
  <si>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</si>
  <si>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</si>
  <si>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</si>
  <si>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</si>
  <si>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</si>
  <si>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</si>
  <si>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</si>
  <si>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</si>
  <si>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</si>
  <si>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</si>
  <si>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</si>
  <si>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</si>
  <si>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</si>
  <si>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</si>
  <si>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</si>
  <si>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</si>
  <si>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</si>
  <si>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</si>
  <si>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</si>
  <si>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</si>
  <si>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</si>
  <si>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</si>
  <si>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</si>
  <si>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</si>
  <si>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</si>
  <si>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</si>
  <si>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</si>
  <si>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</si>
  <si>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</si>
  <si>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</si>
  <si>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</si>
  <si>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</si>
  <si>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</si>
  <si>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</si>
  <si>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</si>
  <si>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</si>
  <si>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</si>
  <si>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</si>
  <si>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</si>
  <si>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</si>
  <si>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</si>
  <si>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</si>
  <si>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</si>
  <si>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</si>
  <si>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</si>
  <si>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</si>
  <si>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</si>
  <si>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</si>
  <si>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</si>
  <si>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</si>
  <si>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</si>
  <si>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</si>
  <si>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</si>
  <si>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</si>
  <si>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</si>
  <si>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</si>
  <si>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</si>
  <si>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</si>
  <si>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</si>
  <si>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</si>
  <si>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</si>
  <si>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</si>
  <si>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</si>
  <si>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</si>
  <si>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</si>
  <si>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</si>
  <si>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</si>
  <si>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</si>
  <si>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</si>
  <si>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</si>
  <si>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</si>
  <si>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</si>
  <si>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</si>
  <si>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</si>
  <si>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</si>
  <si>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</si>
  <si>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</si>
  <si>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</si>
  <si>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</si>
  <si>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</si>
  <si>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</si>
  <si>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</si>
  <si>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</si>
  <si>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</si>
  <si>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</si>
  <si>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</si>
  <si>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</si>
  <si>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</si>
  <si>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</si>
  <si>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</si>
  <si>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</si>
  <si>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</si>
  <si>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</si>
  <si>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</si>
  <si>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</si>
  <si>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</si>
  <si>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</si>
  <si>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</si>
  <si>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</si>
  <si>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</si>
  <si>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</si>
  <si>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</si>
  <si>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</si>
  <si>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</si>
  <si>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</si>
  <si>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</si>
  <si>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</si>
  <si>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</si>
  <si>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</si>
  <si>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</si>
  <si>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</si>
  <si>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</si>
  <si>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</si>
  <si>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</si>
  <si>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</si>
  <si>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</si>
  <si>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</si>
  <si>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</si>
  <si>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</si>
  <si>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</si>
  <si>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</si>
  <si>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</si>
  <si>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</si>
  <si>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</si>
  <si>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</si>
  <si>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</si>
  <si>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</si>
  <si>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</si>
  <si>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</si>
  <si>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</si>
  <si>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</si>
  <si>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</si>
  <si>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</si>
  <si>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</si>
  <si>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</si>
  <si>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</si>
  <si>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</si>
  <si>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</si>
  <si>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</si>
  <si>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</si>
  <si>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</si>
  <si>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</si>
  <si>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</si>
  <si>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</si>
  <si>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</si>
  <si>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</si>
  <si>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</si>
  <si>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</si>
  <si>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</si>
  <si>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</si>
  <si>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</si>
  <si>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</si>
  <si>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</si>
  <si>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</si>
  <si>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</si>
  <si>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</si>
  <si>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</si>
  <si>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</si>
  <si>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</si>
  <si>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</si>
  <si>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</si>
  <si>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</si>
  <si>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</si>
  <si>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</si>
  <si>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</si>
  <si>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</si>
  <si>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</si>
  <si>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</si>
  <si>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</si>
  <si>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</si>
  <si>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</si>
  <si>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</si>
  <si>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</si>
  <si>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</si>
  <si>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</si>
  <si>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</si>
  <si>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</si>
  <si>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</si>
  <si>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</si>
  <si>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</si>
  <si>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</si>
  <si>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</si>
  <si>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</si>
  <si>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</si>
  <si>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</si>
  <si>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</si>
  <si>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</si>
  <si>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</si>
  <si>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</si>
  <si>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</si>
  <si>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</si>
  <si>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</si>
  <si>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</si>
  <si>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</si>
  <si>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</si>
  <si>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</si>
  <si>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</si>
  <si>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</si>
  <si>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</si>
  <si>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</si>
  <si>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</si>
  <si>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</si>
  <si>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</si>
  <si>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</si>
  <si>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</si>
  <si>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</si>
  <si>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</si>
  <si>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</si>
  <si>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</si>
  <si>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</si>
  <si>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</si>
  <si>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</si>
  <si>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</si>
  <si>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</si>
  <si>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</si>
  <si>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</si>
  <si>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</si>
  <si>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</si>
  <si>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</si>
  <si>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</si>
  <si>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</si>
  <si>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</si>
  <si>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</si>
  <si>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</si>
  <si>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</si>
  <si>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</si>
  <si>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</si>
  <si>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</si>
  <si>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</si>
  <si>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</si>
  <si>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</si>
  <si>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</si>
  <si>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</si>
  <si>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</si>
  <si>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</si>
  <si>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</si>
  <si>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</si>
  <si>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</si>
  <si>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</si>
  <si>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</si>
  <si>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</si>
  <si>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</si>
  <si>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</si>
  <si>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</si>
  <si>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</si>
  <si>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</si>
  <si>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</si>
  <si>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</si>
  <si>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</si>
  <si>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</si>
  <si>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</si>
  <si>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</si>
  <si>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</si>
  <si>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</si>
  <si>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</si>
  <si>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</si>
  <si>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</si>
  <si>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</si>
  <si>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</si>
  <si>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</si>
  <si>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</si>
  <si>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</si>
  <si>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</si>
  <si>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</si>
  <si>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</si>
  <si>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</si>
  <si>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</si>
  <si>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</si>
  <si>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</si>
  <si>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</si>
  <si>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</si>
  <si>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</si>
  <si>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</si>
  <si>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</si>
  <si>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</si>
  <si>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</si>
  <si>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</si>
  <si>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</si>
  <si>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</si>
  <si>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</si>
  <si>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</si>
  <si>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</si>
  <si>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</si>
  <si>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</si>
  <si>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</si>
  <si>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</si>
  <si>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</si>
  <si>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</si>
  <si>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</si>
  <si>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</si>
  <si>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</si>
  <si>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</si>
  <si>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</si>
  <si>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</si>
  <si>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</si>
  <si>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</si>
  <si>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</si>
  <si>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</si>
  <si>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</si>
  <si>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</si>
  <si>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</si>
  <si>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</si>
  <si>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</si>
  <si>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</si>
  <si>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</si>
  <si>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</si>
  <si>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</si>
  <si>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</si>
  <si>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</si>
  <si>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</si>
  <si>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</si>
  <si>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</si>
  <si>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</si>
  <si>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</si>
  <si>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</si>
  <si>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</si>
  <si>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</si>
  <si>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</si>
  <si>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</si>
  <si>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</si>
  <si>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</si>
  <si>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</si>
  <si>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</si>
  <si>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</si>
  <si>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</si>
  <si>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</si>
  <si>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</si>
  <si>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</si>
  <si>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</si>
  <si>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</si>
  <si>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</si>
  <si>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</si>
  <si>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</si>
  <si>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</si>
  <si>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</si>
  <si>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</si>
  <si>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</si>
  <si>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</si>
  <si>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</si>
  <si>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</si>
  <si>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</si>
  <si>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</si>
  <si>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</si>
  <si>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</si>
  <si>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</si>
  <si>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</si>
  <si>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</si>
  <si>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</si>
  <si>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</si>
  <si>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</si>
  <si>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</si>
  <si>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</si>
  <si>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</si>
  <si>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</si>
  <si>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</si>
  <si>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</si>
  <si>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</si>
  <si>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</si>
  <si>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</si>
  <si>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</si>
  <si>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</si>
  <si>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</si>
  <si>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</si>
  <si>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</si>
  <si>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</si>
  <si>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</si>
  <si>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</si>
  <si>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</si>
  <si>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</si>
  <si>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</si>
  <si>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</si>
  <si>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</si>
  <si>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</si>
  <si>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</si>
  <si>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</si>
  <si>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</si>
  <si>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</si>
  <si>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</si>
  <si>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</si>
  <si>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</si>
  <si>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</si>
  <si>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</si>
  <si>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</si>
  <si>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</si>
  <si>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</si>
  <si>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</si>
  <si>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</si>
  <si>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</si>
  <si>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</si>
  <si>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</si>
  <si>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</si>
  <si>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</si>
  <si>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</si>
  <si>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</si>
  <si>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</si>
  <si>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</si>
  <si>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</si>
  <si>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</si>
  <si>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</si>
  <si>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</si>
  <si>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</si>
  <si>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</si>
  <si>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</si>
  <si>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</si>
  <si>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</si>
  <si>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</si>
  <si>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</si>
  <si>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</si>
  <si>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</si>
  <si>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</si>
  <si>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</si>
  <si>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</si>
  <si>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</si>
  <si>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</si>
  <si>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</si>
  <si>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</si>
  <si>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</si>
  <si>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</si>
  <si>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</si>
  <si>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</si>
  <si>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</si>
  <si>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</si>
  <si>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</si>
  <si>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</si>
  <si>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</si>
  <si>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</si>
  <si>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</si>
  <si>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</si>
  <si>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</si>
  <si>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</si>
  <si>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</si>
  <si>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</si>
  <si>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</si>
  <si>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</si>
  <si>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</si>
  <si>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</si>
  <si>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</si>
  <si>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</si>
  <si>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</si>
  <si>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</si>
  <si>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</si>
  <si>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</si>
  <si>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</si>
  <si>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</si>
  <si>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</si>
  <si>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</si>
  <si>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</si>
  <si>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</si>
  <si>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</si>
  <si>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</si>
  <si>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</si>
  <si>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</si>
  <si>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</si>
  <si>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</si>
  <si>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</si>
  <si>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</si>
  <si>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</si>
  <si>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</si>
  <si>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</si>
  <si>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</si>
  <si>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</si>
  <si>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</si>
  <si>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</si>
  <si>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</si>
  <si>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</si>
  <si>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</si>
  <si>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</si>
  <si>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</si>
  <si>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</si>
  <si>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</si>
  <si>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</si>
  <si>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</si>
  <si>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</si>
  <si>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</si>
  <si>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</si>
  <si>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</si>
  <si>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</si>
  <si>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</si>
  <si>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</si>
  <si>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</si>
  <si>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</si>
  <si>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</si>
  <si>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</si>
  <si>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</si>
  <si>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</si>
  <si>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</si>
  <si>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</si>
  <si>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</si>
  <si>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</si>
  <si>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</si>
  <si>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</si>
  <si>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</si>
  <si>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</si>
  <si>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</si>
  <si>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</si>
  <si>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</si>
  <si>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</si>
  <si>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</si>
  <si>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</si>
  <si>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</si>
  <si>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</si>
  <si>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</si>
  <si>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</si>
  <si>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</si>
  <si>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</si>
  <si>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</si>
  <si>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</si>
  <si>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</si>
  <si>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</si>
  <si>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</si>
  <si>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</si>
  <si>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</si>
  <si>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</si>
  <si>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</si>
  <si>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</si>
  <si>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</si>
  <si>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</si>
  <si>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</si>
  <si>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</si>
  <si>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</si>
  <si>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</si>
  <si>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</si>
  <si>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</si>
  <si>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</si>
  <si>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</si>
  <si>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</si>
  <si>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</si>
  <si>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</si>
  <si>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</si>
  <si>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</si>
  <si>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</si>
  <si>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</si>
  <si>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</si>
  <si>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</si>
  <si>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</si>
  <si>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</si>
  <si>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</si>
  <si>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</si>
  <si>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</si>
  <si>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</si>
  <si>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</si>
  <si>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</si>
  <si>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</si>
  <si>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</si>
  <si>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</si>
  <si>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</si>
  <si>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</si>
  <si>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</si>
  <si>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</si>
  <si>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</si>
  <si>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</si>
  <si>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</si>
  <si>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</si>
  <si>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</si>
  <si>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</si>
  <si>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</si>
  <si>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</si>
  <si>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</si>
  <si>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</si>
  <si>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</si>
  <si>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</si>
  <si>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</si>
  <si>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</si>
  <si>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</si>
  <si>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</si>
  <si>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</si>
  <si>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</si>
  <si>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</si>
  <si>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</si>
  <si>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</si>
  <si>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</si>
  <si>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</si>
  <si>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</si>
  <si>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</si>
  <si>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</si>
  <si>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</si>
  <si>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</si>
  <si>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</si>
  <si>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</si>
  <si>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</si>
  <si>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</si>
  <si>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</si>
  <si>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</si>
  <si>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</si>
  <si>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</si>
  <si>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</si>
  <si>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</si>
  <si>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</si>
  <si>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</si>
  <si>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</si>
  <si>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</si>
  <si>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</si>
  <si>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</si>
  <si>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</si>
  <si>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</si>
  <si>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</si>
  <si>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</si>
  <si>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</si>
  <si>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</si>
  <si>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</si>
  <si>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</si>
  <si>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</si>
  <si>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</si>
  <si>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</si>
  <si>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</si>
  <si>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</si>
  <si>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</si>
  <si>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</si>
  <si>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</si>
  <si>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</si>
  <si>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</si>
  <si>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</si>
  <si>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</si>
  <si>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</si>
  <si>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</si>
  <si>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</si>
  <si>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</si>
  <si>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</si>
  <si>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</si>
  <si>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</si>
  <si>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</si>
  <si>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</si>
  <si>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</si>
  <si>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</si>
  <si>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</si>
  <si>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</si>
  <si>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</si>
  <si>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</si>
  <si>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</si>
  <si>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</si>
  <si>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</si>
  <si>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</si>
  <si>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</si>
  <si>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</si>
  <si>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</si>
  <si>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</si>
  <si>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</si>
  <si>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</si>
  <si>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</si>
  <si>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</si>
  <si>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</si>
  <si>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</si>
  <si>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</si>
  <si>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</si>
  <si>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</si>
  <si>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</si>
  <si>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</si>
  <si>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</si>
  <si>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</si>
  <si>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</si>
  <si>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</si>
  <si>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</si>
  <si>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</si>
  <si>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</si>
  <si>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</si>
  <si>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</si>
  <si>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</si>
  <si>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</si>
  <si>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</si>
  <si>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</si>
  <si>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</si>
  <si>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</si>
  <si>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</si>
  <si>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</si>
  <si>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</si>
  <si>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</si>
  <si>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</si>
  <si>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</si>
  <si>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</si>
  <si>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</si>
  <si>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</si>
  <si>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</si>
  <si>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</si>
  <si>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</si>
  <si>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</si>
  <si>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</si>
  <si>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</si>
  <si>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</si>
  <si>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</si>
  <si>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</si>
  <si>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</si>
  <si>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</si>
  <si>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</si>
  <si>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</si>
  <si>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</si>
  <si>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</si>
  <si>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</si>
  <si>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</si>
  <si>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</si>
  <si>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</si>
  <si>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</si>
  <si>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</si>
  <si>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</si>
  <si>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</si>
  <si>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</si>
  <si>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</si>
  <si>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</si>
  <si>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</si>
  <si>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</si>
  <si>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</si>
  <si>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</si>
  <si>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</si>
  <si>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</si>
  <si>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</si>
  <si>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</si>
  <si>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</si>
  <si>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</si>
  <si>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</si>
  <si>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</si>
  <si>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</si>
  <si>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</si>
  <si>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</si>
  <si>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</si>
  <si>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</si>
  <si>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</si>
  <si>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</si>
  <si>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</si>
  <si>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</si>
  <si>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</si>
  <si>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</si>
  <si>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</si>
  <si>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</si>
  <si>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</si>
  <si>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</si>
  <si>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</si>
  <si>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</si>
  <si>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</si>
  <si>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</si>
  <si>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</si>
  <si>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</si>
  <si>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</si>
  <si>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</si>
  <si>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</si>
  <si>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</si>
  <si>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</si>
  <si>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</si>
  <si>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</si>
  <si>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</si>
  <si>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</si>
  <si>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</si>
  <si>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</si>
  <si>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</si>
  <si>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</si>
  <si>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</si>
  <si>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</si>
  <si>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</si>
  <si>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</si>
  <si>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</si>
  <si>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</si>
  <si>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</si>
  <si>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</si>
  <si>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</si>
  <si>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</si>
  <si>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</si>
  <si>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</si>
  <si>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</si>
  <si>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</si>
  <si>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</si>
  <si>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</si>
  <si>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</si>
  <si>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</si>
  <si>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</si>
  <si>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</si>
  <si>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</si>
  <si>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</si>
  <si>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</si>
  <si>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</si>
  <si>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</si>
  <si>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</si>
  <si>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</si>
  <si>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</si>
  <si>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</si>
  <si>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</si>
  <si>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</si>
  <si>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</si>
  <si>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</si>
  <si>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</si>
  <si>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</si>
  <si>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</si>
  <si>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</si>
  <si>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</si>
  <si>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</si>
  <si>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</si>
  <si>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</si>
  <si>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</si>
  <si>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</si>
  <si>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</si>
  <si>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</si>
  <si>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</si>
  <si>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</si>
  <si>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</si>
  <si>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</si>
  <si>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</si>
  <si>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</si>
  <si>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</si>
  <si>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</si>
  <si>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</si>
  <si>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</si>
  <si>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</si>
  <si>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</si>
  <si>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</si>
  <si>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</si>
  <si>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</si>
  <si>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</si>
  <si>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</si>
  <si>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</si>
  <si>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</si>
  <si>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</si>
  <si>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</si>
  <si>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</si>
  <si>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</si>
  <si>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</si>
  <si>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</si>
  <si>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</si>
  <si>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</si>
  <si>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</si>
  <si>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</si>
  <si>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</si>
  <si>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</si>
  <si>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</si>
  <si>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</si>
  <si>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</si>
  <si>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</si>
  <si>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</si>
  <si>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</si>
  <si>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</si>
  <si>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</si>
  <si>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</si>
  <si>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</si>
  <si>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</si>
  <si>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</si>
  <si>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</si>
  <si>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</si>
  <si>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</si>
  <si>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</si>
  <si>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</si>
  <si>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</si>
  <si>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</si>
  <si>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</si>
  <si>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</si>
  <si>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</si>
  <si>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</si>
  <si>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</si>
  <si>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</si>
  <si>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</si>
  <si>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</si>
  <si>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</si>
  <si>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</si>
  <si>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</si>
  <si>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</si>
  <si>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</si>
  <si>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</si>
  <si>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</si>
  <si>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</si>
  <si>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</si>
  <si>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</si>
  <si>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</si>
  <si>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</si>
  <si>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</si>
  <si>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</si>
  <si>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</si>
  <si>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</si>
  <si>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</si>
  <si>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</si>
  <si>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</si>
  <si>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</si>
  <si>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</si>
  <si>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</si>
  <si>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</si>
  <si>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</si>
  <si>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</si>
  <si>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</si>
  <si>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</si>
  <si>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</si>
  <si>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</si>
  <si>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</si>
  <si>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</si>
  <si>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</si>
  <si>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</si>
  <si>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</si>
  <si>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</si>
  <si>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</si>
  <si>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</si>
  <si>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</si>
  <si>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</si>
  <si>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</si>
  <si>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</si>
  <si>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</si>
  <si>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</si>
  <si>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</si>
  <si>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</si>
  <si>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</si>
  <si>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</si>
  <si>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</si>
  <si>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</si>
  <si>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</si>
  <si>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</si>
  <si>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</si>
  <si>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</si>
  <si>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</si>
  <si>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</si>
  <si>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</si>
  <si>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</si>
  <si>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</si>
  <si>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</si>
  <si>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</si>
  <si>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</si>
  <si>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</si>
  <si>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</si>
  <si>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</si>
  <si>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</si>
  <si>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</si>
  <si>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</si>
  <si>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</si>
  <si>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</si>
  <si>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</si>
  <si>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</si>
  <si>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</si>
  <si>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</si>
  <si>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</si>
  <si>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</si>
  <si>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</si>
  <si>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</si>
  <si>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</si>
  <si>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</si>
  <si>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</si>
  <si>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</si>
  <si>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</si>
  <si>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</si>
  <si>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</si>
  <si>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</si>
  <si>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</si>
  <si>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</si>
  <si>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</si>
  <si>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</si>
  <si>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</si>
  <si>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</si>
  <si>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</si>
  <si>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</si>
  <si>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</si>
  <si>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</si>
  <si>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</si>
  <si>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</si>
  <si>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</si>
  <si>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</si>
  <si>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</si>
  <si>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</si>
  <si>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</si>
  <si>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</si>
  <si>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</si>
  <si>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</si>
  <si>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</si>
  <si>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</si>
  <si>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</si>
  <si>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</si>
  <si>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</si>
  <si>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</si>
  <si>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</si>
  <si>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</si>
  <si>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</si>
  <si>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</si>
  <si>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</si>
  <si>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</si>
  <si>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</si>
  <si>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</si>
  <si>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</si>
  <si>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</si>
  <si>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</si>
  <si>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</si>
  <si>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</si>
  <si>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</si>
  <si>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</si>
  <si>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</si>
  <si>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</si>
  <si>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</si>
  <si>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</si>
  <si>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</si>
  <si>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</si>
  <si>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</si>
  <si>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</si>
  <si>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</si>
  <si>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</si>
  <si>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</si>
  <si>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</si>
  <si>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</si>
  <si>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</si>
  <si>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</si>
  <si>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</si>
  <si>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</si>
  <si>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</si>
  <si>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</si>
  <si>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</si>
  <si>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</si>
  <si>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</si>
  <si>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</si>
  <si>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</si>
  <si>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</si>
  <si>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</si>
  <si>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</si>
  <si>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</si>
  <si>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</si>
  <si>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</si>
  <si>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</si>
  <si>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</si>
  <si>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</si>
  <si>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</si>
  <si>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</si>
  <si>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</si>
  <si>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</si>
  <si>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</si>
  <si>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</si>
  <si>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</si>
  <si>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</si>
  <si>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</si>
  <si>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</si>
  <si>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</si>
  <si>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</si>
  <si>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</si>
  <si>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</si>
  <si>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</si>
  <si>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</si>
  <si>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</si>
  <si>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</si>
  <si>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</si>
  <si>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</si>
  <si>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</si>
  <si>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</si>
  <si>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</si>
  <si>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</si>
  <si>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</si>
  <si>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</si>
  <si>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</si>
  <si>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</si>
  <si>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</si>
  <si>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</si>
  <si>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</si>
  <si>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</si>
  <si>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</si>
  <si>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</si>
  <si>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</si>
  <si>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</si>
  <si>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</si>
  <si>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</si>
  <si>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</si>
  <si>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</si>
  <si>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</si>
  <si>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</si>
  <si>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</si>
  <si>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</si>
  <si>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</si>
  <si>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</si>
  <si>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</si>
  <si>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</si>
  <si>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</si>
  <si>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</si>
  <si>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</si>
  <si>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</si>
  <si>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</si>
  <si>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</si>
  <si>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</si>
  <si>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</si>
  <si>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</si>
  <si>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</si>
  <si>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</si>
  <si>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</si>
  <si>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</si>
  <si>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</si>
  <si>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</si>
  <si>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</si>
  <si>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</si>
  <si>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</si>
  <si>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</si>
  <si>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</si>
  <si>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</si>
  <si>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</si>
  <si>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</si>
  <si>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</si>
  <si>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</si>
  <si>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</si>
  <si>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</si>
  <si>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</si>
  <si>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</si>
  <si>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</si>
  <si>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</si>
  <si>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</si>
  <si>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</si>
  <si>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</si>
  <si>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</si>
  <si>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</si>
  <si>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</si>
  <si>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</si>
  <si>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</si>
  <si>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</si>
  <si>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</si>
  <si>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</si>
  <si>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</si>
  <si>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</si>
  <si>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</si>
  <si>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</si>
  <si>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</si>
  <si>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</si>
  <si>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</si>
  <si>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</si>
  <si>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</si>
  <si>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</si>
  <si>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</si>
  <si>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</si>
  <si>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</si>
  <si>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</si>
  <si>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</si>
  <si>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</si>
  <si>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</si>
  <si>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</si>
  <si>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</si>
  <si>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</si>
  <si>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</si>
  <si>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</si>
  <si>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</si>
  <si>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</si>
  <si>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</si>
  <si>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</si>
  <si>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</si>
  <si>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</si>
  <si>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</si>
  <si>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</si>
  <si>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</si>
  <si>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</si>
  <si>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</si>
  <si>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</si>
  <si>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</si>
  <si>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</si>
  <si>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</si>
  <si>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</si>
  <si>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</si>
  <si>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</si>
  <si>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</si>
  <si>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</si>
  <si>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</si>
  <si>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</si>
  <si>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</si>
  <si>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</si>
  <si>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</si>
  <si>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</si>
  <si>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</si>
  <si>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</si>
  <si>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</si>
  <si>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</si>
  <si>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</si>
  <si>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</si>
  <si>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</si>
  <si>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</si>
  <si>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</si>
  <si>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</si>
  <si>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</si>
  <si>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</si>
  <si>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</si>
  <si>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</si>
  <si>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</si>
  <si>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</si>
  <si>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</si>
  <si>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</si>
  <si>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</si>
  <si>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</si>
  <si>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</si>
  <si>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</si>
  <si>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</si>
  <si>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</si>
  <si>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</si>
  <si>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</si>
  <si>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</si>
  <si>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</si>
  <si>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</si>
  <si>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</si>
  <si>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</si>
  <si>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</si>
  <si>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</si>
  <si>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</si>
  <si>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</si>
  <si>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</si>
  <si>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</si>
  <si>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</si>
  <si>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</si>
  <si>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</si>
  <si>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</si>
  <si>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</si>
  <si>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</si>
  <si>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</si>
  <si>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</si>
  <si>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</si>
  <si>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</si>
  <si>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</si>
  <si>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</si>
  <si>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</si>
  <si>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</si>
  <si>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</si>
  <si>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</si>
  <si>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</si>
  <si>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</si>
  <si>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</si>
  <si>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</si>
  <si>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</si>
  <si>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</si>
  <si>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</si>
  <si>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</si>
  <si>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</si>
  <si>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</si>
  <si>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</si>
  <si>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</si>
  <si>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</si>
  <si>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</si>
  <si>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</si>
  <si>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</si>
  <si>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</si>
  <si>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</si>
  <si>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</si>
  <si>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</si>
  <si>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</si>
  <si>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</si>
  <si>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</si>
  <si>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</si>
  <si>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</si>
  <si>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</si>
  <si>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</si>
  <si>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</si>
  <si>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</si>
  <si>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</si>
  <si>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</si>
  <si>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</si>
  <si>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</si>
  <si>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</si>
  <si>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</si>
  <si>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</si>
  <si>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</si>
  <si>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</si>
  <si>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</si>
  <si>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</si>
  <si>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</si>
  <si>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</si>
  <si>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</si>
  <si>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</si>
  <si>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</si>
  <si>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</si>
  <si>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</si>
  <si>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</si>
  <si>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</si>
  <si>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</si>
  <si>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</si>
  <si>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</si>
  <si>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</si>
  <si>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</si>
  <si>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</si>
  <si>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</si>
  <si>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</si>
  <si>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</si>
  <si>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</si>
  <si>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</si>
  <si>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</si>
  <si>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</si>
  <si>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</si>
  <si>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</si>
  <si>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</si>
  <si>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</si>
  <si>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</si>
  <si>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</si>
  <si>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</si>
  <si>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</si>
  <si>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</si>
  <si>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</si>
  <si>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</si>
  <si>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</si>
  <si>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</si>
  <si>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</si>
  <si>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</si>
  <si>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</si>
  <si>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</si>
  <si>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</si>
  <si>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</si>
  <si>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</si>
  <si>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</si>
  <si>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</si>
  <si>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</si>
  <si>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</si>
  <si>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</si>
  <si>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</si>
  <si>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</si>
  <si>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</si>
  <si>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</si>
  <si>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</si>
  <si>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</si>
  <si>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</si>
  <si>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</si>
  <si>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</si>
  <si>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</si>
  <si>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</si>
  <si>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</si>
  <si>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</si>
  <si>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</si>
  <si>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</si>
  <si>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</si>
  <si>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</si>
  <si>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</si>
  <si>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</si>
  <si>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</si>
  <si>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</si>
  <si>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</si>
  <si>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</si>
  <si>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</si>
  <si>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</si>
  <si>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</si>
  <si>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</si>
  <si>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</si>
  <si>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</si>
  <si>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</si>
  <si>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</si>
  <si>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</si>
  <si>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</si>
  <si>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</si>
  <si>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</si>
  <si>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</si>
  <si>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</si>
  <si>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</si>
  <si>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</si>
  <si>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</si>
  <si>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</si>
  <si>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</si>
  <si>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</si>
  <si>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</si>
  <si>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</si>
  <si>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</si>
  <si>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</si>
  <si>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</si>
  <si>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</si>
  <si>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</si>
  <si>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</si>
  <si>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</si>
  <si>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</si>
  <si>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</si>
  <si>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</si>
  <si>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</si>
  <si>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</si>
  <si>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</si>
  <si>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</si>
  <si>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</si>
  <si>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</si>
  <si>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</si>
  <si>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</si>
  <si>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</si>
  <si>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</si>
  <si>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</si>
  <si>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</si>
  <si>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</si>
  <si>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</si>
  <si>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</si>
  <si>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</si>
  <si>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</si>
  <si>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</si>
  <si>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</si>
  <si>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</si>
  <si>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</si>
  <si>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</si>
  <si>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</si>
  <si>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</si>
  <si>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</si>
  <si>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</si>
  <si>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</si>
  <si>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</si>
  <si>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</si>
  <si>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</si>
  <si>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</si>
  <si>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</si>
  <si>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</si>
  <si>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</si>
  <si>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</si>
  <si>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</si>
  <si>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</si>
  <si>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</si>
  <si>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</si>
  <si>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</si>
  <si>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</si>
  <si>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</si>
  <si>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</si>
  <si>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</si>
  <si>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</si>
  <si>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</si>
  <si>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</si>
  <si>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</si>
  <si>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</si>
  <si>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</si>
  <si>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</si>
  <si>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</si>
  <si>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</si>
  <si>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</si>
  <si>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</si>
  <si>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</si>
  <si>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</si>
  <si>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</si>
  <si>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</si>
  <si>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</si>
  <si>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</si>
  <si>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</si>
  <si>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</si>
  <si>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</si>
  <si>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</si>
  <si>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</si>
  <si>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</si>
  <si>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</si>
  <si>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</si>
  <si>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</si>
  <si>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</si>
  <si>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</si>
  <si>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</si>
  <si>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</si>
  <si>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</si>
  <si>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</si>
  <si>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</si>
  <si>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</si>
  <si>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</si>
  <si>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</si>
  <si>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</si>
  <si>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</si>
  <si>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</si>
  <si>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</si>
  <si>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</si>
  <si>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</si>
  <si>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</si>
  <si>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</si>
  <si>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</si>
  <si>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</si>
  <si>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</si>
  <si>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</si>
  <si>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</si>
  <si>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</si>
  <si>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</si>
  <si>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</si>
  <si>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</si>
  <si>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</si>
  <si>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</si>
  <si>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</si>
  <si>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</si>
  <si>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</si>
  <si>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</si>
  <si>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</si>
  <si>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</si>
  <si>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</si>
  <si>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</si>
  <si>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</si>
  <si>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</si>
  <si>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</si>
  <si>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</si>
  <si>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</si>
  <si>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</si>
  <si>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</si>
  <si>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</si>
  <si>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</si>
  <si>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</si>
  <si>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</si>
  <si>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</si>
  <si>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</si>
  <si>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</si>
  <si>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</si>
  <si>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</si>
  <si>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</si>
  <si>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</si>
  <si>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</si>
  <si>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</si>
  <si>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</si>
  <si>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</si>
  <si>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</si>
  <si>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</si>
  <si>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</si>
  <si>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</si>
  <si>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</si>
  <si>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</si>
  <si>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</si>
  <si>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</si>
  <si>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</si>
  <si>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</si>
  <si>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</si>
  <si>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</si>
  <si>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</si>
  <si>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</si>
  <si>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</si>
  <si>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</si>
  <si>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</si>
  <si>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</si>
  <si>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</si>
  <si>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</si>
  <si>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</si>
  <si>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</si>
  <si>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</si>
  <si>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</si>
  <si>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</si>
  <si>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</si>
  <si>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</si>
  <si>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</si>
  <si>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</si>
  <si>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</si>
  <si>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</si>
  <si>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</si>
  <si>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</si>
  <si>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</si>
  <si>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</si>
  <si>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</si>
  <si>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</si>
  <si>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</si>
  <si>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</si>
  <si>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</si>
  <si>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</si>
  <si>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</si>
  <si>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</si>
  <si>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</si>
  <si>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</si>
  <si>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</si>
  <si>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</si>
  <si>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</si>
  <si>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</si>
  <si>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</si>
  <si>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</si>
  <si>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</si>
  <si>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</si>
  <si>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</si>
  <si>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</si>
  <si>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</si>
  <si>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</si>
  <si>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</si>
  <si>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</si>
  <si>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</si>
  <si>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</si>
  <si>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</si>
  <si>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</si>
  <si>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</si>
  <si>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</si>
  <si>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</si>
  <si>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</si>
  <si>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</si>
  <si>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</si>
  <si>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</si>
  <si>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</si>
  <si>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</si>
  <si>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</si>
  <si>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</si>
  <si>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</si>
  <si>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</si>
  <si>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</si>
  <si>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</si>
  <si>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</si>
  <si>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</si>
  <si>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</si>
  <si>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</si>
  <si>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</si>
  <si>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</si>
  <si>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</si>
  <si>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</si>
  <si>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</si>
  <si>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</si>
  <si>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</si>
  <si>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</si>
  <si>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</si>
  <si>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</si>
  <si>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</si>
  <si>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</si>
  <si>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</si>
  <si>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</si>
  <si>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</si>
  <si>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</si>
  <si>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</si>
  <si>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</si>
  <si>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</si>
  <si>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</si>
  <si>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</si>
  <si>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</si>
  <si>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</si>
  <si>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</si>
  <si>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</si>
  <si>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</si>
  <si>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</si>
  <si>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</si>
  <si>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</si>
  <si>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</si>
  <si>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</si>
  <si>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</si>
  <si>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</si>
  <si>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</si>
  <si>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</si>
  <si>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</si>
  <si>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</si>
  <si>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</si>
  <si>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</si>
  <si>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</si>
  <si>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</si>
  <si>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</si>
  <si>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</si>
  <si>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</si>
  <si>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</si>
  <si>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</si>
  <si>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</si>
  <si>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</si>
  <si>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</si>
  <si>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</si>
  <si>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</si>
  <si>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</si>
  <si>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</si>
  <si>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</si>
  <si>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</si>
  <si>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</si>
  <si>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</si>
  <si>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</si>
  <si>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</si>
  <si>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</si>
  <si>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</si>
  <si>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</si>
  <si>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</si>
  <si>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</si>
  <si>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</si>
  <si>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</si>
  <si>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</si>
  <si>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</si>
  <si>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</si>
  <si>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</si>
  <si>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</si>
  <si>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</si>
  <si>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</si>
  <si>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</si>
  <si>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</si>
  <si>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</si>
  <si>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</si>
  <si>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</si>
  <si>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</si>
  <si>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</si>
  <si>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</si>
  <si>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</si>
  <si>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</si>
  <si>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</si>
  <si>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</si>
  <si>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</si>
  <si>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</si>
  <si>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</si>
  <si>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</si>
  <si>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</si>
  <si>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</si>
  <si>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</si>
  <si>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</si>
  <si>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</si>
  <si>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</si>
  <si>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</si>
  <si>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</si>
  <si>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</si>
  <si>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</si>
  <si>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</si>
  <si>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</si>
  <si>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</si>
  <si>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</si>
  <si>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</si>
  <si>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</si>
  <si>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</si>
  <si>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</si>
  <si>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</si>
  <si>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</si>
  <si>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</si>
  <si>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</si>
  <si>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</si>
  <si>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</si>
  <si>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</si>
  <si>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</si>
  <si>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</si>
  <si>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</si>
  <si>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</si>
  <si>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</si>
  <si>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</si>
  <si>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</si>
  <si>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</si>
  <si>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</si>
  <si>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</si>
  <si>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</si>
  <si>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</si>
  <si>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</si>
  <si>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</si>
  <si>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</si>
  <si>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</si>
  <si>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</si>
  <si>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</si>
  <si>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</si>
  <si>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</si>
  <si>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</si>
  <si>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</si>
  <si>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</si>
  <si>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</si>
  <si>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</si>
  <si>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</si>
  <si>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</si>
  <si>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</si>
  <si>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</si>
  <si>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</si>
  <si>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</si>
  <si>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</si>
  <si>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</si>
  <si>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</si>
  <si>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</si>
  <si>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</si>
  <si>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</si>
  <si>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</si>
  <si>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</si>
  <si>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</si>
  <si>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</si>
  <si>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</si>
  <si>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</si>
  <si>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</si>
  <si>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</si>
  <si>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</si>
  <si>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</si>
  <si>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</si>
  <si>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</si>
  <si>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</si>
  <si>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</si>
  <si>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</si>
  <si>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</si>
  <si>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</si>
  <si>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</si>
  <si>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</si>
  <si>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</si>
  <si>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</si>
  <si>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</si>
  <si>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</si>
  <si>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</si>
  <si>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</si>
  <si>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</si>
  <si>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</si>
  <si>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</si>
  <si>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</si>
  <si>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</si>
  <si>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</si>
  <si>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</si>
  <si>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</si>
  <si>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</si>
  <si>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</si>
  <si>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</si>
  <si>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</si>
  <si>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</si>
  <si>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</si>
  <si>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</si>
  <si>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</si>
  <si>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</si>
  <si>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</si>
  <si>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</si>
  <si>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</si>
  <si>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</si>
  <si>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</si>
  <si>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</si>
  <si>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</si>
  <si>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</si>
  <si>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</si>
  <si>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</si>
  <si>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</si>
  <si>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</si>
  <si>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</si>
  <si>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</si>
  <si>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</si>
  <si>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</si>
  <si>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</si>
  <si>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</si>
  <si>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</si>
  <si>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</si>
  <si>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</si>
  <si>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</si>
  <si>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</si>
  <si>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</si>
  <si>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</si>
  <si>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</si>
  <si>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</si>
  <si>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</si>
  <si>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</si>
  <si>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</si>
  <si>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</si>
  <si>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</si>
  <si>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</si>
  <si>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</si>
  <si>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</si>
  <si>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</si>
  <si>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</si>
  <si>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</si>
  <si>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</si>
  <si>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</si>
  <si>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</si>
  <si>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</si>
  <si>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</si>
  <si>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</si>
  <si>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</si>
  <si>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</si>
  <si>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</si>
  <si>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</si>
  <si>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</si>
  <si>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</si>
  <si>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</si>
  <si>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</si>
  <si>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</si>
  <si>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</si>
  <si>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</si>
  <si>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</si>
  <si>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</si>
  <si>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</si>
  <si>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</si>
  <si>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</si>
  <si>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</si>
  <si>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</si>
  <si>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</si>
  <si>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</si>
  <si>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</si>
  <si>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</si>
  <si>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</si>
  <si>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</si>
  <si>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</si>
  <si>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</si>
  <si>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</si>
  <si>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</si>
  <si>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</si>
  <si>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</si>
  <si>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</si>
  <si>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</si>
  <si>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</si>
  <si>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</si>
  <si>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</si>
  <si>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</si>
  <si>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</si>
  <si>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</si>
  <si>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</si>
  <si>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</si>
  <si>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</si>
  <si>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</si>
  <si>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</si>
  <si>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</si>
  <si>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</si>
  <si>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</si>
  <si>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</si>
  <si>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</si>
  <si>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</si>
  <si>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</si>
  <si>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</si>
  <si>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</si>
  <si>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</si>
  <si>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</si>
  <si>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</si>
  <si>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</si>
  <si>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</si>
  <si>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</si>
  <si>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</si>
  <si>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</si>
  <si>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</si>
  <si>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</si>
  <si>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</si>
  <si>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</si>
  <si>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</si>
  <si>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</si>
  <si>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</si>
  <si>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</si>
  <si>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</si>
  <si>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</si>
  <si>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</si>
  <si>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</si>
  <si>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</si>
  <si>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</si>
  <si>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</si>
  <si>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</si>
  <si>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</si>
  <si>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</si>
  <si>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</si>
  <si>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</si>
  <si>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</si>
  <si>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</si>
  <si>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</si>
  <si>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</si>
  <si>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</si>
  <si>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</si>
  <si>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</si>
  <si>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</si>
  <si>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</si>
  <si>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</si>
  <si>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</si>
  <si>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</si>
  <si>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</si>
  <si>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</si>
  <si>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</si>
  <si>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</si>
  <si>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</si>
  <si>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</si>
  <si>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</si>
  <si>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</si>
  <si>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</si>
  <si>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</si>
  <si>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</si>
  <si>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</si>
  <si>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</si>
  <si>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</si>
  <si>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</si>
  <si>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</si>
  <si>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</si>
  <si>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</si>
  <si>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</si>
  <si>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</si>
  <si>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</si>
  <si>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</si>
  <si>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</si>
  <si>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</si>
  <si>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</si>
  <si>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</si>
  <si>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</si>
  <si>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</si>
  <si>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</si>
  <si>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</si>
  <si>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</si>
  <si>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</si>
  <si>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</si>
  <si>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</si>
  <si>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</si>
  <si>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</si>
  <si>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</si>
  <si>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</si>
  <si>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</si>
  <si>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</si>
  <si>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</si>
  <si>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</si>
  <si>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</si>
  <si>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</si>
  <si>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</si>
  <si>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</si>
  <si>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</si>
  <si>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</si>
  <si>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</si>
  <si>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</si>
  <si>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</si>
  <si>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</si>
  <si>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</si>
  <si>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</si>
  <si>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</si>
  <si>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</si>
  <si>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</si>
  <si>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</si>
  <si>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</si>
  <si>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</si>
  <si>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</si>
  <si>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</si>
  <si>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</si>
  <si>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</si>
  <si>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</si>
  <si>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</si>
  <si>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</si>
  <si>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</si>
  <si>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</si>
  <si>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</si>
  <si>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</si>
  <si>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</si>
  <si>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</si>
  <si>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</si>
  <si>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</si>
  <si>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</si>
  <si>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</si>
  <si>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</si>
  <si>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</si>
  <si>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</si>
  <si>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</si>
  <si>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</si>
  <si>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</si>
  <si>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</si>
  <si>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</si>
  <si>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</si>
  <si>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</si>
  <si>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</si>
  <si>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</si>
  <si>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</si>
  <si>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</si>
  <si>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</si>
  <si>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</si>
  <si>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</si>
  <si>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</si>
  <si>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</si>
  <si>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</si>
  <si>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</si>
  <si>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</si>
  <si>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</si>
  <si>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</si>
  <si>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</si>
  <si>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</si>
  <si>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</si>
  <si>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</si>
  <si>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</si>
  <si>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</si>
  <si>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</si>
  <si>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</si>
  <si>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</si>
  <si>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</si>
  <si>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</si>
  <si>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</si>
  <si>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</si>
  <si>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</si>
  <si>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</si>
  <si>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</si>
  <si>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</si>
  <si>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</si>
  <si>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</si>
  <si>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</si>
  <si>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</si>
  <si>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</si>
  <si>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</si>
  <si>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</si>
  <si>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</si>
  <si>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</si>
  <si>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</si>
  <si>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</si>
  <si>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</si>
  <si>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</si>
  <si>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</si>
  <si>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</si>
  <si>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</si>
  <si>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</si>
  <si>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</si>
  <si>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</si>
  <si>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</si>
  <si>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</si>
  <si>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</si>
  <si>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</si>
  <si>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</si>
  <si>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</si>
  <si>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</si>
  <si>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</si>
  <si>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</si>
  <si>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</si>
  <si>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</si>
  <si>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</si>
  <si>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</si>
  <si>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</si>
  <si>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</si>
  <si>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</si>
  <si>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</si>
  <si>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</si>
  <si>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</si>
  <si>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</si>
  <si>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</si>
  <si>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</si>
  <si>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</si>
  <si>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</si>
  <si>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</si>
  <si>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</si>
  <si>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</si>
  <si>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</si>
  <si>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</si>
  <si>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</si>
  <si>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</si>
  <si>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</si>
  <si>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</si>
  <si>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</si>
  <si>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</si>
  <si>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</si>
  <si>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</si>
  <si>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</si>
  <si>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</si>
  <si>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</si>
  <si>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</si>
  <si>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</si>
  <si>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</si>
  <si>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</si>
  <si>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</si>
  <si>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</si>
  <si>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</si>
  <si>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</si>
  <si>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</si>
  <si>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</si>
  <si>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</si>
  <si>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</si>
  <si>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</si>
  <si>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</si>
  <si>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</si>
  <si>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</si>
  <si>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</si>
  <si>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</si>
  <si>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</si>
  <si>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</si>
  <si>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</si>
  <si>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</si>
  <si>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</si>
  <si>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</si>
  <si>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</si>
  <si>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</si>
  <si>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</si>
  <si>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</si>
  <si>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</si>
  <si>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</si>
  <si>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</si>
  <si>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</si>
  <si>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</si>
  <si>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</si>
  <si>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</si>
  <si>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</si>
  <si>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</si>
  <si>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</si>
  <si>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</si>
  <si>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</si>
  <si>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</si>
  <si>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</si>
  <si>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</si>
  <si>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</si>
  <si>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</si>
  <si>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</si>
  <si>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</si>
  <si>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</si>
  <si>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</si>
  <si>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</si>
  <si>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</si>
  <si>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</si>
  <si>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</si>
  <si>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</si>
  <si>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</si>
  <si>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</si>
  <si>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</si>
  <si>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</si>
  <si>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</si>
  <si>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</si>
  <si>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</si>
  <si>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</si>
  <si>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</si>
  <si>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</si>
  <si>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</si>
  <si>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</si>
  <si>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</si>
  <si>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</si>
  <si>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</si>
  <si>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</si>
  <si>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</si>
  <si>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</si>
  <si>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</si>
  <si>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</si>
  <si>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</si>
  <si>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</si>
  <si>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</si>
  <si>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</si>
  <si>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</si>
  <si>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</si>
  <si>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</si>
  <si>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</si>
  <si>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</si>
  <si>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</si>
  <si>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</si>
  <si>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</si>
  <si>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</si>
  <si>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</si>
  <si>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</si>
  <si>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</si>
  <si>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</si>
  <si>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</si>
  <si>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</si>
  <si>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</si>
  <si>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</si>
  <si>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</si>
  <si>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</si>
  <si>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</si>
  <si>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</si>
  <si>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</si>
  <si>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</si>
  <si>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</si>
  <si>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</si>
  <si>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</si>
  <si>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</si>
  <si>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</si>
  <si>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</si>
  <si>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</si>
  <si>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</si>
  <si>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</si>
  <si>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</si>
  <si>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</si>
  <si>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</si>
  <si>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</si>
  <si>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</si>
  <si>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</si>
  <si>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</si>
  <si>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</si>
  <si>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</si>
  <si>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</si>
  <si>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</si>
  <si>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</si>
  <si>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</si>
  <si>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</si>
  <si>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</si>
  <si>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</si>
  <si>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</si>
  <si>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</si>
  <si>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</si>
  <si>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</si>
  <si>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</si>
  <si>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</si>
  <si>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</si>
  <si>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</si>
  <si>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</si>
  <si>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</si>
  <si>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</si>
  <si>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</si>
  <si>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</si>
  <si>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</si>
  <si>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</si>
  <si>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</si>
  <si>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</si>
  <si>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</si>
  <si>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</si>
  <si>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</si>
  <si>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</si>
  <si>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</si>
  <si>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</si>
  <si>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</si>
  <si>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</si>
  <si>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</si>
  <si>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</si>
  <si>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</si>
  <si>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</si>
  <si>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</si>
  <si>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</si>
  <si>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</si>
  <si>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</si>
  <si>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</si>
  <si>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</si>
  <si>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</si>
  <si>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</si>
  <si>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</si>
  <si>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</si>
  <si>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</si>
  <si>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</si>
  <si>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</si>
  <si>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</si>
  <si>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</si>
  <si>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</si>
  <si>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</si>
  <si>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</si>
  <si>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</si>
  <si>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</si>
  <si>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</si>
  <si>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</si>
  <si>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</si>
  <si>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</si>
  <si>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</si>
  <si>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</si>
  <si>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</si>
  <si>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</si>
  <si>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</si>
  <si>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</si>
  <si>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</si>
  <si>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</si>
  <si>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</si>
  <si>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</si>
  <si>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</si>
  <si>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</si>
  <si>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</si>
  <si>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</si>
  <si>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</si>
  <si>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</si>
  <si>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</si>
  <si>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</si>
  <si>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</si>
  <si>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</si>
  <si>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</si>
  <si>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</si>
  <si>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</si>
  <si>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</si>
  <si>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</si>
  <si>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</si>
  <si>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</si>
  <si>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</si>
  <si>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</si>
  <si>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</si>
  <si>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</si>
  <si>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</si>
  <si>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</si>
  <si>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</si>
  <si>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</si>
  <si>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</si>
  <si>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</si>
  <si>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</si>
  <si>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</si>
  <si>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</si>
  <si>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</si>
  <si>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</si>
  <si>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</si>
  <si>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</si>
  <si>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</si>
  <si>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</si>
  <si>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</si>
  <si>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</si>
  <si>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</si>
  <si>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</si>
  <si>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</si>
  <si>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</si>
  <si>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</si>
  <si>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</si>
  <si>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</si>
  <si>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</si>
  <si>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</si>
  <si>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</si>
  <si>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</si>
  <si>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</si>
  <si>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</si>
  <si>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</si>
  <si>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</si>
  <si>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</si>
  <si>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</si>
  <si>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</si>
  <si>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</si>
  <si>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</si>
  <si>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</si>
  <si>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</si>
  <si>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</si>
  <si>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</si>
  <si>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</si>
  <si>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</si>
  <si>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</si>
  <si>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</si>
  <si>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</si>
  <si>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</si>
  <si>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</si>
  <si>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</si>
  <si>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</si>
  <si>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</si>
  <si>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</si>
  <si>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</si>
  <si>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</si>
  <si>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</si>
  <si>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</si>
  <si>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</si>
  <si>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</si>
  <si>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</si>
  <si>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</si>
  <si>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</si>
  <si>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</si>
  <si>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</si>
  <si>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</si>
  <si>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</si>
  <si>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</si>
  <si>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</si>
  <si>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</si>
  <si>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</si>
  <si>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</si>
  <si>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</si>
  <si>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</si>
  <si>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</si>
  <si>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</si>
  <si>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</si>
  <si>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</si>
  <si>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</si>
  <si>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</si>
  <si>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</si>
  <si>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</si>
  <si>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</si>
  <si>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</si>
  <si>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</si>
  <si>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</si>
  <si>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</si>
  <si>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</si>
  <si>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</si>
  <si>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</si>
  <si>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</si>
  <si>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</si>
  <si>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</si>
  <si>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</si>
  <si>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</si>
  <si>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</si>
  <si>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</si>
  <si>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</si>
  <si>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</si>
  <si>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</si>
  <si>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</si>
  <si>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</si>
  <si>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</si>
  <si>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</si>
  <si>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</si>
  <si>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</si>
  <si>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</si>
  <si>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</si>
  <si>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</si>
  <si>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</si>
  <si>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</si>
  <si>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</si>
  <si>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</si>
  <si>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</si>
  <si>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</si>
  <si>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</si>
  <si>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</si>
  <si>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</si>
  <si>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</si>
  <si>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</si>
  <si>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</si>
  <si>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</si>
  <si>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</si>
  <si>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</si>
  <si>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</si>
  <si>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</si>
  <si>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</si>
  <si>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</si>
  <si>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</si>
  <si>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</si>
  <si>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</si>
  <si>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</si>
  <si>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</si>
  <si>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</si>
  <si>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</si>
  <si>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</si>
  <si>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</si>
  <si>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</si>
  <si>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</si>
  <si>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</si>
  <si>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</si>
  <si>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</si>
  <si>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</si>
  <si>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</si>
  <si>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</si>
  <si>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</si>
  <si>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</si>
  <si>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</si>
  <si>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</si>
  <si>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</si>
  <si>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</si>
  <si>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</si>
  <si>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</si>
  <si>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</si>
  <si>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</si>
  <si>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</si>
  <si>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</si>
  <si>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</si>
  <si>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</si>
  <si>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</si>
  <si>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</si>
  <si>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</si>
  <si>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</si>
  <si>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</si>
  <si>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</si>
  <si>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</si>
  <si>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</si>
  <si>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</si>
  <si>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</si>
  <si>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</si>
  <si>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</si>
  <si>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</si>
  <si>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</si>
  <si>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</si>
  <si>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</si>
  <si>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</si>
  <si>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</si>
  <si>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</si>
  <si>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</si>
  <si>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</si>
  <si>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</si>
  <si>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</si>
  <si>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</si>
  <si>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</si>
  <si>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</si>
  <si>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</si>
  <si>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</si>
  <si>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</si>
  <si>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</si>
  <si>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</si>
  <si>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</si>
  <si>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</si>
  <si>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</si>
  <si>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</si>
  <si>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</si>
  <si>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</si>
  <si>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</si>
  <si>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</si>
  <si>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</si>
  <si>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</si>
  <si>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</si>
  <si>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</si>
  <si>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</si>
  <si>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</si>
  <si>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</si>
  <si>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</si>
  <si>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</si>
  <si>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</si>
  <si>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</si>
  <si>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</si>
  <si>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</si>
  <si>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</si>
  <si>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</si>
  <si>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</si>
  <si>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</si>
  <si>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</si>
  <si>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</si>
  <si>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</si>
  <si>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</si>
  <si>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</si>
  <si>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</si>
  <si>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</si>
  <si>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</si>
  <si>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</si>
  <si>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</si>
  <si>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</si>
  <si>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</si>
  <si>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</si>
  <si>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</si>
  <si>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</si>
  <si>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</si>
  <si>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</si>
  <si>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</si>
  <si>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</si>
  <si>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</si>
  <si>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</si>
  <si>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</si>
  <si>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</si>
  <si>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</si>
  <si>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</si>
  <si>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</si>
  <si>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</si>
  <si>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</si>
  <si>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</si>
  <si>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</si>
  <si>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</si>
  <si>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</si>
  <si>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</si>
  <si>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</si>
  <si>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</si>
  <si>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</si>
  <si>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</si>
  <si>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</si>
  <si>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</si>
  <si>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</si>
  <si>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</si>
  <si>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</si>
  <si>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</si>
  <si>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</si>
  <si>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</si>
  <si>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</si>
  <si>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</si>
  <si>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</si>
  <si>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</si>
  <si>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</si>
  <si>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</si>
  <si>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</si>
  <si>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</si>
  <si>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</si>
  <si>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</si>
  <si>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</si>
  <si>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</si>
  <si>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</si>
  <si>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</si>
  <si>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</si>
  <si>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</si>
  <si>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</si>
  <si>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</si>
  <si>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</si>
  <si>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</si>
  <si>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</si>
  <si>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</si>
  <si>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</si>
  <si>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</si>
  <si>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</si>
  <si>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</si>
  <si>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</si>
  <si>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</si>
  <si>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</si>
  <si>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</si>
  <si>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</si>
  <si>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</si>
  <si>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</si>
  <si>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</si>
  <si>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</si>
  <si>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</si>
  <si>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</si>
  <si>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</si>
  <si>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</si>
  <si>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</si>
  <si>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</si>
  <si>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</si>
  <si>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</si>
  <si>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</si>
  <si>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</si>
  <si>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</si>
  <si>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</si>
  <si>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</si>
  <si>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</si>
  <si>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</si>
  <si>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</si>
  <si>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</si>
  <si>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</si>
  <si>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</si>
  <si>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</si>
  <si>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</si>
  <si>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</si>
  <si>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</si>
  <si>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</si>
  <si>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</si>
  <si>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</si>
  <si>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</si>
  <si>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</si>
  <si>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</si>
  <si>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</si>
  <si>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</si>
  <si>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</si>
  <si>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</si>
  <si>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</si>
  <si>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</si>
  <si>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</si>
  <si>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</si>
  <si>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</si>
  <si>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</si>
  <si>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</si>
  <si>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</si>
  <si>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</si>
  <si>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</si>
  <si>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</si>
  <si>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</si>
  <si>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</si>
  <si>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</si>
  <si>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</si>
  <si>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</si>
  <si>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</si>
  <si>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</si>
  <si>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</si>
  <si>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</si>
  <si>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</si>
  <si>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</si>
  <si>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</si>
  <si>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</si>
  <si>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</si>
  <si>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</si>
  <si>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</si>
  <si>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</si>
  <si>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</si>
  <si>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</si>
  <si>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</si>
  <si>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</si>
  <si>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</si>
  <si>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</si>
  <si>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</si>
  <si>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</si>
  <si>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</si>
  <si>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</si>
  <si>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</si>
  <si>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</si>
  <si>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</si>
  <si>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</si>
  <si>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</si>
  <si>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</si>
  <si>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</si>
  <si>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</si>
  <si>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</si>
  <si>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</si>
  <si>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</si>
  <si>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</si>
  <si>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</si>
  <si>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</si>
  <si>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</si>
  <si>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</si>
  <si>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</si>
  <si>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</si>
  <si>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</si>
  <si>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</si>
  <si>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</si>
  <si>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</si>
  <si>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</si>
  <si>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</si>
  <si>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</si>
  <si>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</si>
  <si>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</si>
  <si>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</si>
  <si>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</si>
  <si>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</si>
  <si>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</si>
  <si>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</si>
  <si>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</si>
  <si>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</si>
  <si>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</si>
  <si>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</si>
  <si>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</si>
  <si>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</si>
  <si>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</si>
  <si>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</si>
  <si>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</si>
  <si>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</si>
  <si>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</si>
  <si>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</si>
  <si>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</si>
  <si>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</si>
  <si>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</si>
  <si>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</si>
  <si>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</si>
  <si>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</si>
  <si>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</si>
  <si>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</si>
  <si>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</si>
  <si>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</si>
  <si>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</si>
  <si>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</si>
  <si>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</si>
  <si>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</si>
  <si>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</si>
  <si>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</si>
  <si>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</si>
  <si>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</si>
  <si>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</si>
  <si>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</si>
  <si>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</si>
  <si>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</si>
  <si>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</si>
  <si>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</si>
  <si>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</si>
  <si>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</si>
  <si>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</si>
  <si>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</si>
  <si>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</si>
  <si>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</si>
  <si>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</si>
  <si>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</si>
  <si>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</si>
  <si>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</si>
  <si>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</si>
  <si>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</si>
  <si>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</si>
  <si>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</si>
  <si>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</si>
  <si>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</si>
  <si>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</si>
  <si>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</si>
  <si>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</si>
  <si>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</si>
  <si>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</si>
  <si>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</si>
  <si>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</si>
  <si>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</si>
  <si>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</si>
  <si>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</si>
  <si>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</si>
  <si>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</si>
  <si>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</si>
  <si>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</si>
  <si>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</si>
  <si>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</si>
  <si>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</si>
  <si>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</si>
  <si>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</si>
  <si>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</si>
  <si>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</si>
  <si>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</si>
  <si>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</si>
  <si>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</si>
  <si>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</si>
  <si>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</si>
  <si>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</si>
  <si>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</si>
  <si>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</si>
  <si>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</si>
  <si>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</si>
  <si>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</si>
  <si>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</si>
  <si>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</si>
  <si>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</si>
  <si>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</si>
  <si>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</si>
  <si>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</si>
  <si>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</si>
  <si>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</si>
  <si>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</si>
  <si>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</si>
  <si>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</si>
  <si>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</si>
  <si>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</si>
  <si>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</si>
  <si>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</si>
  <si>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</si>
  <si>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</si>
  <si>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</si>
  <si>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</si>
  <si>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</si>
  <si>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</si>
  <si>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</si>
  <si>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</si>
  <si>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</si>
  <si>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</si>
  <si>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</si>
  <si>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</si>
  <si>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</si>
  <si>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</si>
  <si>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</si>
  <si>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</si>
  <si>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</si>
  <si>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</si>
  <si>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</si>
  <si>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</si>
  <si>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</si>
  <si>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</si>
  <si>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</si>
  <si>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</si>
  <si>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</si>
  <si>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</si>
  <si>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</si>
  <si>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</si>
  <si>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</si>
  <si>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</si>
  <si>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</si>
  <si>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</si>
  <si>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</si>
  <si>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</si>
  <si>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</si>
  <si>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</si>
  <si>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</si>
  <si>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</si>
  <si>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</si>
  <si>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</si>
  <si>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</si>
  <si>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</si>
  <si>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</si>
  <si>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</si>
  <si>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</si>
  <si>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</si>
  <si>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</si>
  <si>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</si>
  <si>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</si>
  <si>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</si>
  <si>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</si>
  <si>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</si>
  <si>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</si>
  <si>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</si>
  <si>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</si>
  <si>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</si>
  <si>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</si>
  <si>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</si>
  <si>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</si>
  <si>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</si>
  <si>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</si>
  <si>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</si>
  <si>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</si>
  <si>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</si>
  <si>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</si>
  <si>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</si>
  <si>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</si>
  <si>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</si>
  <si>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</si>
  <si>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</si>
  <si>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</si>
  <si>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</si>
  <si>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</si>
  <si>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</si>
  <si>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</si>
  <si>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</si>
  <si>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</si>
  <si>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</si>
  <si>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</si>
  <si>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</si>
  <si>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</si>
  <si>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</si>
  <si>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</si>
  <si>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</si>
  <si>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</si>
  <si>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</si>
  <si>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</si>
  <si>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</si>
  <si>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</si>
  <si>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</si>
  <si>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</si>
  <si>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</si>
  <si>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</si>
  <si>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</si>
  <si>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</si>
  <si>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</si>
  <si>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</si>
  <si>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</si>
  <si>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</si>
  <si>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</si>
  <si>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</si>
  <si>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</si>
  <si>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</si>
  <si>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</si>
  <si>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</si>
  <si>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</si>
  <si>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</si>
  <si>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</si>
  <si>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</si>
  <si>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</si>
  <si>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</si>
  <si>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</si>
  <si>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</si>
  <si>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</si>
  <si>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</si>
  <si>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</si>
  <si>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</si>
  <si>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</si>
  <si>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</si>
  <si>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</si>
  <si>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</si>
  <si>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</si>
  <si>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</si>
  <si>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</si>
  <si>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</si>
  <si>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</si>
  <si>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</si>
  <si>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</si>
  <si>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</si>
  <si>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</si>
  <si>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</si>
  <si>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</si>
  <si>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</si>
  <si>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</si>
  <si>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</si>
  <si>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</si>
  <si>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</si>
  <si>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</si>
  <si>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</si>
  <si>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</si>
  <si>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</si>
  <si>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</si>
  <si>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</si>
  <si>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</si>
  <si>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</si>
  <si>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</si>
  <si>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</si>
  <si>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</si>
  <si>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</si>
  <si>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</si>
  <si>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</si>
  <si>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</si>
  <si>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</si>
  <si>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</si>
  <si>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</si>
  <si>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</si>
  <si>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</si>
  <si>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</si>
  <si>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</si>
  <si>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</si>
  <si>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</si>
  <si>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</si>
  <si>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</si>
  <si>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</si>
  <si>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</si>
  <si>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</si>
  <si>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</si>
  <si>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</si>
  <si>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</si>
  <si>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</si>
  <si>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</si>
  <si>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</si>
  <si>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</si>
  <si>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</si>
  <si>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</si>
  <si>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</si>
  <si>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</si>
  <si>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</si>
  <si>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</si>
  <si>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</si>
  <si>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</si>
  <si>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</si>
  <si>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</si>
  <si>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</si>
  <si>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</si>
  <si>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</si>
  <si>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</si>
  <si>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</si>
  <si>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</si>
  <si>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</si>
  <si>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</si>
  <si>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</si>
  <si>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</si>
  <si>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</si>
  <si>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</si>
  <si>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</si>
  <si>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</si>
  <si>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</si>
  <si>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</si>
  <si>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</si>
  <si>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</si>
  <si>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</si>
  <si>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</si>
  <si>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</si>
  <si>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</si>
  <si>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</si>
  <si>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</si>
  <si>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</si>
  <si>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</si>
  <si>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</si>
  <si>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</si>
  <si>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</si>
  <si>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</si>
  <si>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</si>
  <si>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</si>
  <si>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</si>
  <si>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</si>
  <si>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</si>
  <si>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</si>
  <si>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</si>
  <si>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</si>
  <si>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</si>
  <si>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</si>
  <si>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</si>
  <si>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</si>
  <si>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</si>
  <si>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</si>
  <si>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</si>
  <si>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</si>
  <si>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</si>
  <si>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</si>
  <si>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</si>
  <si>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</si>
  <si>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</si>
  <si>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</si>
  <si>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</si>
  <si>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</si>
  <si>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</si>
  <si>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</si>
  <si>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</si>
  <si>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</si>
  <si>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</si>
  <si>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</si>
  <si>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</si>
  <si>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</si>
  <si>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</si>
  <si>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</si>
  <si>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</si>
  <si>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</si>
  <si>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</si>
  <si>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</si>
  <si>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</si>
  <si>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</si>
  <si>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</si>
  <si>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</si>
  <si>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</si>
  <si>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</si>
  <si>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</si>
  <si>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</si>
  <si>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</si>
  <si>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</si>
  <si>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</si>
  <si>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</si>
  <si>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</si>
  <si>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</si>
  <si>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</si>
  <si>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</si>
  <si>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</si>
  <si>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</si>
  <si>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</si>
  <si>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</si>
  <si>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</si>
  <si>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</si>
  <si>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</si>
  <si>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</si>
  <si>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</si>
  <si>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</si>
  <si>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</si>
  <si>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</si>
  <si>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</si>
  <si>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</si>
  <si>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</si>
  <si>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</si>
  <si>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</si>
  <si>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</si>
  <si>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</si>
  <si>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</si>
  <si>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</si>
  <si>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</si>
  <si>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</si>
  <si>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</si>
  <si>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</si>
  <si>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</si>
  <si>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</si>
  <si>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</si>
  <si>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</si>
  <si>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</si>
  <si>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</si>
  <si>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</si>
  <si>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</si>
  <si>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</si>
  <si>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</si>
  <si>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</si>
  <si>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</si>
  <si>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</si>
  <si>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</si>
  <si>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</si>
  <si>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</si>
  <si>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</si>
  <si>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</si>
  <si>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</si>
  <si>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</si>
  <si>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</si>
  <si>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</si>
  <si>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</si>
  <si>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</si>
  <si>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</si>
  <si>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</si>
  <si>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</si>
  <si>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</si>
  <si>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</si>
  <si>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</si>
  <si>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</si>
  <si>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</si>
  <si>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</si>
  <si>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</si>
  <si>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</si>
  <si>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</si>
  <si>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</si>
  <si>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</si>
  <si>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</si>
  <si>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</si>
  <si>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</si>
  <si>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</si>
  <si>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</si>
  <si>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</si>
  <si>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</si>
  <si>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</si>
  <si>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</si>
  <si>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</si>
  <si>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</si>
  <si>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</si>
  <si>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</si>
  <si>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</si>
  <si>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</si>
  <si>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</si>
  <si>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</si>
  <si>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</si>
  <si>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</si>
  <si>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</si>
  <si>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</si>
  <si>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</si>
  <si>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</si>
  <si>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</si>
  <si>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</si>
  <si>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</si>
  <si>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</si>
  <si>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</si>
  <si>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</si>
  <si>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</si>
  <si>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</si>
  <si>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</si>
  <si>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</si>
  <si>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</si>
  <si>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</si>
  <si>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</si>
  <si>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</si>
  <si>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</si>
  <si>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</si>
  <si>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</si>
  <si>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</si>
  <si>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</si>
  <si>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</si>
  <si>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</si>
  <si>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</si>
  <si>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</si>
  <si>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</si>
  <si>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</si>
  <si>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</si>
  <si>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</si>
  <si>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</si>
  <si>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</si>
  <si>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</si>
  <si>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</si>
  <si>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</si>
  <si>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</si>
  <si>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</si>
  <si>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</si>
  <si>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</si>
  <si>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</si>
  <si>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</si>
  <si>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</si>
  <si>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</si>
  <si>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</si>
  <si>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</si>
  <si>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</si>
  <si>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</si>
  <si>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</si>
  <si>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</si>
  <si>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</si>
  <si>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</si>
  <si>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</si>
  <si>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</si>
  <si>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</si>
  <si>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</si>
  <si>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</si>
  <si>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</si>
  <si>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</si>
  <si>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</si>
  <si>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</si>
  <si>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</si>
  <si>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</si>
  <si>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</si>
  <si>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</si>
  <si>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</si>
  <si>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</si>
  <si>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</si>
  <si>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</si>
  <si>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</si>
  <si>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</si>
  <si>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</si>
  <si>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</si>
  <si>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</si>
  <si>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</si>
  <si>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</si>
  <si>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</si>
  <si>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</si>
  <si>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</si>
  <si>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</si>
  <si>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</si>
  <si>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</si>
  <si>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</si>
  <si>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</si>
  <si>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</si>
  <si>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</si>
  <si>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</si>
  <si>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</si>
  <si>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</si>
  <si>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</si>
  <si>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</si>
  <si>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</si>
  <si>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</si>
  <si>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</si>
  <si>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</si>
  <si>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</si>
  <si>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</si>
  <si>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</si>
  <si>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</si>
  <si>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</si>
  <si>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</si>
  <si>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</si>
  <si>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</si>
  <si>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</si>
  <si>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</si>
  <si>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</si>
  <si>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</si>
  <si>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</si>
  <si>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</si>
  <si>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</si>
  <si>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</si>
  <si>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</si>
  <si>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</si>
  <si>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</si>
  <si>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</si>
  <si>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</si>
  <si>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</si>
  <si>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</si>
  <si>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</si>
  <si>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</si>
  <si>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</si>
  <si>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</si>
  <si>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</si>
  <si>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</si>
  <si>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</si>
  <si>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</si>
  <si>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</si>
  <si>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</si>
  <si>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</si>
  <si>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</si>
  <si>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</si>
  <si>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</si>
  <si>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</si>
  <si>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</si>
  <si>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</si>
  <si>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</si>
  <si>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</si>
  <si>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</si>
  <si>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</si>
  <si>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</si>
  <si>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</si>
  <si>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</si>
  <si>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</si>
  <si>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</si>
  <si>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</si>
  <si>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</si>
  <si>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</si>
  <si>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</si>
  <si>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</si>
  <si>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</si>
  <si>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</si>
  <si>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</si>
  <si>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</si>
  <si>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</si>
  <si>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</si>
  <si>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</si>
  <si>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</si>
  <si>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</si>
  <si>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</si>
  <si>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</si>
  <si>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</si>
  <si>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</si>
  <si>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</si>
  <si>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</si>
  <si>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</si>
  <si>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</si>
  <si>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</si>
  <si>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</si>
  <si>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</si>
  <si>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</si>
  <si>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</si>
  <si>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</si>
  <si>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</si>
  <si>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</si>
  <si>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</si>
  <si>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</si>
  <si>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</si>
  <si>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</si>
  <si>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</si>
  <si>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</si>
  <si>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</si>
  <si>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</si>
  <si>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</si>
  <si>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</si>
  <si>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</si>
  <si>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</si>
  <si>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</si>
  <si>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</si>
  <si>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</si>
  <si>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</si>
  <si>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</si>
  <si>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</si>
  <si>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</si>
  <si>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</si>
  <si>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</si>
  <si>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</si>
  <si>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</si>
  <si>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</si>
  <si>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</si>
  <si>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</si>
  <si>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</si>
  <si>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</si>
  <si>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</si>
  <si>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</si>
  <si>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</si>
  <si>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</si>
  <si>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</si>
  <si>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</si>
  <si>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</si>
  <si>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</si>
  <si>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</si>
  <si>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</si>
  <si>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</si>
  <si>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</si>
  <si>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</si>
  <si>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</si>
  <si>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</si>
  <si>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</si>
  <si>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</si>
  <si>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</si>
  <si>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</si>
  <si>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</si>
  <si>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</si>
  <si>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</si>
  <si>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</si>
  <si>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</si>
  <si>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</si>
  <si>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</si>
  <si>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</si>
  <si>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</si>
  <si>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</si>
  <si>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</si>
  <si>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</si>
  <si>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</si>
  <si>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</si>
  <si>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</si>
  <si>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</si>
  <si>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</si>
  <si>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</si>
  <si>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</si>
  <si>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</si>
  <si>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</si>
  <si>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</si>
  <si>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</si>
  <si>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</si>
  <si>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</si>
  <si>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</si>
  <si>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</si>
  <si>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</si>
  <si>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</si>
  <si>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</si>
  <si>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</si>
  <si>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</si>
  <si>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</si>
  <si>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</si>
  <si>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</si>
  <si>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</si>
  <si>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</si>
  <si>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</si>
  <si>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</si>
  <si>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</si>
  <si>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</si>
  <si>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</si>
  <si>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</si>
  <si>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</si>
  <si>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</si>
  <si>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</si>
  <si>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</si>
  <si>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</si>
  <si>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</si>
  <si>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</si>
  <si>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</si>
  <si>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</si>
  <si>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</si>
  <si>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</si>
  <si>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</si>
  <si>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</si>
  <si>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</si>
  <si>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</si>
  <si>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</si>
  <si>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</si>
  <si>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</si>
  <si>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</si>
  <si>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</si>
  <si>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</si>
  <si>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</si>
  <si>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</si>
  <si>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</si>
  <si>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</si>
  <si>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</si>
  <si>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</si>
  <si>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</si>
  <si>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</si>
  <si>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</si>
  <si>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</si>
  <si>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</si>
  <si>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</si>
  <si>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</si>
  <si>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</si>
  <si>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</si>
  <si>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</si>
  <si>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</si>
  <si>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</si>
  <si>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</si>
  <si>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</si>
  <si>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</si>
  <si>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</si>
  <si>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</si>
  <si>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</si>
  <si>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</si>
  <si>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</si>
  <si>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</si>
  <si>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</si>
  <si>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</si>
  <si>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</si>
  <si>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</si>
  <si>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</si>
  <si>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</si>
  <si>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</si>
  <si>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</si>
  <si>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</si>
  <si>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</si>
  <si>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</si>
  <si>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</si>
  <si>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</si>
  <si>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</si>
  <si>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</si>
  <si>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</si>
  <si>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</si>
  <si>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</si>
  <si>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</si>
  <si>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</si>
  <si>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</si>
  <si>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</si>
  <si>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</si>
  <si>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</si>
  <si>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</si>
  <si>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</si>
  <si>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</si>
  <si>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</si>
  <si>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</si>
  <si>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</si>
  <si>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</si>
  <si>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</si>
  <si>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</si>
  <si>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</si>
  <si>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</si>
  <si>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</si>
  <si>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</si>
  <si>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</si>
  <si>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</si>
  <si>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</si>
  <si>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</si>
  <si>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</si>
  <si>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</si>
  <si>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</si>
  <si>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</si>
  <si>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</si>
  <si>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</si>
  <si>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</si>
  <si>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</si>
  <si>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</si>
  <si>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</si>
  <si>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</si>
  <si>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</si>
  <si>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</si>
  <si>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</si>
  <si>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</si>
  <si>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</si>
  <si>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</si>
  <si>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</si>
  <si>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</si>
  <si>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</si>
  <si>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</si>
  <si>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</si>
  <si>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</si>
  <si>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</si>
  <si>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</si>
  <si>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</si>
  <si>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</si>
  <si>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</si>
  <si>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</si>
  <si>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</si>
  <si>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</si>
  <si>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</si>
  <si>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</si>
  <si>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</si>
  <si>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</si>
  <si>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</si>
  <si>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</si>
  <si>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</si>
  <si>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</si>
  <si>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</si>
  <si>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</si>
  <si>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</si>
  <si>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</si>
  <si>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</si>
  <si>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</si>
  <si>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</si>
  <si>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</si>
  <si>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</si>
  <si>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</si>
  <si>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</si>
  <si>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</si>
  <si>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</si>
  <si>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</si>
  <si>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</si>
  <si>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</si>
  <si>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</si>
  <si>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</si>
  <si>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</si>
  <si>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</si>
  <si>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</si>
  <si>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</si>
  <si>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</si>
  <si>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</si>
  <si>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</si>
  <si>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</si>
  <si>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</si>
  <si>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</si>
  <si>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</si>
  <si>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</si>
  <si>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</si>
  <si>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</si>
  <si>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</si>
  <si>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</si>
  <si>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</si>
  <si>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</si>
  <si>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</si>
  <si>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</si>
  <si>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</si>
  <si>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</si>
  <si>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</si>
  <si>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</si>
  <si>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</si>
  <si>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</si>
  <si>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</si>
  <si>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</si>
  <si>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</si>
  <si>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</si>
  <si>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</si>
  <si>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</si>
  <si>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</si>
  <si>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</si>
  <si>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</si>
  <si>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</si>
  <si>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</si>
  <si>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</si>
  <si>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</si>
  <si>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</si>
  <si>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</si>
  <si>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</si>
  <si>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</si>
  <si>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</si>
  <si>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</si>
  <si>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</si>
  <si>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</si>
  <si>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</si>
  <si>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</si>
  <si>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</si>
  <si>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</si>
  <si>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</si>
  <si>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</si>
  <si>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</si>
  <si>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</si>
  <si>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</si>
  <si>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</si>
  <si>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</si>
  <si>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</si>
  <si>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</si>
  <si>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</si>
  <si>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</si>
  <si>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</si>
  <si>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</si>
  <si>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</si>
  <si>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</si>
  <si>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</si>
  <si>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</si>
  <si>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</si>
  <si>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</si>
  <si>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</si>
  <si>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</si>
  <si>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</si>
  <si>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</si>
  <si>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</si>
  <si>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</si>
  <si>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</si>
  <si>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</si>
  <si>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</si>
  <si>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</si>
  <si>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</si>
  <si>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</si>
  <si>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</si>
  <si>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</si>
  <si>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</si>
  <si>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</si>
  <si>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</si>
  <si>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</si>
  <si>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</si>
  <si>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</si>
  <si>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</si>
  <si>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</si>
  <si>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</si>
  <si>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</si>
  <si>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</si>
  <si>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</si>
  <si>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</si>
  <si>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</si>
  <si>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</si>
  <si>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</si>
  <si>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</si>
  <si>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</si>
  <si>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</si>
  <si>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</si>
  <si>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</si>
  <si>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</si>
  <si>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</si>
  <si>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</si>
  <si>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</si>
  <si>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</si>
  <si>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</si>
  <si>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</si>
  <si>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</si>
  <si>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</si>
  <si>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</si>
  <si>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</si>
  <si>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</si>
  <si>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</si>
  <si>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</si>
  <si>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</si>
  <si>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</si>
  <si>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</si>
  <si>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</si>
  <si>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</si>
  <si>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</si>
  <si>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</si>
  <si>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</si>
  <si>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</si>
  <si>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</si>
  <si>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</si>
  <si>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</si>
  <si>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</si>
  <si>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</si>
  <si>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</si>
  <si>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</si>
  <si>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</si>
  <si>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</si>
  <si>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</si>
  <si>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</si>
  <si>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</si>
  <si>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</si>
  <si>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</si>
  <si>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</si>
  <si>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</si>
  <si>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</si>
  <si>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</si>
  <si>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</si>
  <si>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</si>
  <si>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</si>
  <si>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</si>
  <si>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</si>
  <si>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</si>
  <si>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</si>
  <si>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</si>
  <si>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</si>
  <si>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</si>
  <si>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</si>
  <si>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</si>
  <si>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</si>
  <si>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</si>
  <si>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</si>
  <si>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</si>
  <si>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</si>
  <si>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</si>
  <si>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</si>
  <si>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</si>
  <si>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</si>
  <si>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</si>
  <si>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</si>
  <si>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</si>
  <si>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</si>
  <si>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</si>
  <si>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</si>
  <si>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</si>
  <si>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</si>
  <si>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</si>
  <si>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</si>
  <si>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</si>
  <si>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</si>
  <si>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</si>
  <si>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</si>
  <si>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</si>
  <si>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</si>
  <si>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</si>
  <si>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</si>
  <si>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</si>
  <si>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</si>
  <si>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</si>
  <si>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</si>
  <si>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</si>
  <si>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</si>
  <si>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</si>
  <si>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</si>
  <si>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</si>
  <si>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</si>
  <si>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</si>
  <si>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</si>
  <si>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</si>
  <si>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</si>
  <si>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</si>
  <si>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</si>
  <si>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</si>
  <si>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</si>
  <si>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</si>
  <si>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</si>
  <si>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</si>
  <si>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</si>
  <si>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</si>
  <si>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</si>
  <si>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</si>
  <si>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</si>
  <si>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</si>
  <si>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</si>
  <si>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</si>
  <si>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</si>
  <si>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</si>
  <si>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</si>
  <si>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</si>
  <si>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</si>
  <si>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</si>
  <si>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</si>
  <si>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</si>
  <si>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</si>
  <si>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</si>
  <si>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</si>
  <si>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</si>
  <si>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</si>
  <si>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</si>
  <si>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</si>
  <si>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</si>
  <si>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</si>
  <si>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</si>
  <si>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</si>
  <si>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</si>
  <si>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</si>
  <si>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</si>
  <si>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</si>
  <si>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</si>
  <si>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</si>
  <si>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</si>
  <si>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</si>
  <si>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</si>
  <si>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</si>
  <si>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</si>
  <si>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</si>
  <si>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</si>
  <si>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</si>
  <si>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</si>
  <si>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</si>
  <si>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</si>
  <si>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</si>
  <si>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</si>
  <si>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</si>
  <si>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</si>
  <si>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</si>
  <si>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</si>
  <si>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</si>
  <si>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</si>
  <si>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</si>
  <si>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</si>
  <si>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</si>
  <si>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</si>
  <si>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</si>
  <si>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</si>
  <si>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</si>
  <si>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</si>
  <si>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</si>
  <si>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</si>
  <si>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</si>
  <si>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</si>
  <si>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</si>
  <si>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</si>
  <si>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</si>
  <si>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</si>
  <si>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</si>
  <si>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</si>
  <si>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</si>
  <si>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</si>
  <si>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</si>
  <si>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</si>
  <si>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</si>
  <si>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</si>
  <si>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</si>
  <si>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</si>
  <si>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</si>
  <si>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</si>
  <si>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</si>
  <si>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</si>
  <si>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</si>
  <si>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</si>
  <si>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</si>
  <si>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</si>
  <si>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</si>
  <si>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</si>
  <si>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</si>
  <si>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</si>
  <si>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</si>
  <si>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</si>
  <si>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</si>
  <si>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</si>
  <si>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</si>
  <si>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</si>
  <si>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</si>
  <si>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</si>
  <si>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</si>
  <si>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</si>
  <si>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</si>
  <si>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</si>
  <si>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</si>
  <si>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</si>
  <si>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</si>
  <si>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</si>
  <si>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</si>
  <si>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</si>
  <si>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</si>
  <si>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</si>
  <si>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</si>
  <si>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</si>
  <si>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</si>
  <si>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</si>
  <si>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</si>
  <si>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</si>
  <si>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</si>
  <si>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</si>
  <si>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</si>
  <si>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</si>
  <si>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</si>
  <si>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</si>
  <si>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</si>
  <si>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</si>
  <si>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</si>
  <si>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</si>
  <si>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</si>
  <si>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</si>
  <si>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</si>
  <si>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</si>
  <si>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</si>
  <si>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</si>
  <si>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</si>
  <si>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</si>
  <si>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</si>
  <si>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</si>
  <si>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</si>
  <si>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</si>
  <si>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</si>
  <si>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</si>
  <si>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</si>
  <si>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</si>
  <si>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</si>
  <si>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</si>
  <si>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</si>
  <si>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</si>
  <si>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</si>
  <si>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</si>
  <si>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</si>
  <si>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</si>
  <si>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</si>
  <si>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</si>
  <si>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</si>
  <si>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</si>
  <si>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</si>
  <si>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</si>
  <si>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</si>
  <si>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</si>
  <si>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</si>
  <si>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</si>
  <si>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</si>
  <si>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</si>
  <si>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</si>
  <si>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</si>
  <si>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</si>
  <si>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</si>
  <si>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</si>
  <si>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</si>
  <si>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</si>
  <si>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</si>
  <si>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</si>
  <si>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</si>
  <si>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</si>
  <si>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</si>
  <si>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</si>
  <si>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</si>
  <si>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</si>
  <si>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</si>
  <si>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</si>
  <si>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</si>
  <si>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</si>
  <si>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</si>
  <si>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</si>
  <si>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</si>
  <si>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</si>
  <si>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</si>
  <si>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</si>
  <si>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</si>
  <si>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</si>
  <si>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</si>
  <si>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</si>
  <si>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</si>
  <si>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</si>
  <si>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</si>
  <si>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</si>
  <si>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</si>
  <si>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</si>
  <si>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</si>
  <si>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</si>
  <si>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</si>
  <si>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</si>
  <si>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</si>
  <si>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</si>
  <si>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</si>
  <si>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</si>
  <si>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</si>
  <si>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</si>
  <si>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</si>
  <si>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</si>
  <si>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</si>
  <si>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</si>
  <si>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</si>
  <si>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</si>
  <si>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</si>
  <si>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</si>
  <si>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</si>
  <si>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</si>
  <si>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</si>
  <si>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</si>
  <si>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</si>
  <si>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</si>
  <si>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</si>
  <si>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</si>
  <si>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</si>
  <si>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</si>
  <si>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</si>
  <si>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</si>
  <si>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</si>
  <si>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</si>
  <si>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</si>
  <si>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</si>
  <si>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</si>
  <si>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</si>
  <si>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</si>
  <si>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</si>
  <si>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</si>
  <si>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</si>
  <si>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</si>
  <si>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</si>
  <si>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</si>
  <si>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</si>
  <si>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</si>
  <si>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</si>
  <si>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</si>
  <si>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</si>
  <si>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</si>
  <si>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</si>
  <si>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</si>
  <si>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</si>
  <si>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</si>
  <si>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</si>
  <si>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</si>
  <si>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</si>
  <si>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</si>
  <si>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</si>
  <si>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</si>
  <si>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</si>
  <si>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</si>
  <si>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</si>
  <si>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</si>
  <si>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</si>
  <si>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</si>
  <si>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</si>
  <si>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</si>
  <si>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</si>
  <si>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</si>
  <si>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</si>
  <si>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</si>
  <si>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</si>
  <si>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</si>
  <si>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</si>
  <si>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</si>
  <si>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</si>
  <si>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</si>
  <si>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</si>
  <si>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</si>
  <si>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</si>
  <si>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</si>
  <si>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</si>
  <si>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</si>
  <si>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</si>
  <si>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</si>
  <si>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</si>
  <si>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</si>
  <si>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</si>
  <si>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</si>
  <si>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</si>
  <si>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</si>
  <si>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</si>
  <si>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</si>
  <si>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</si>
  <si>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</si>
  <si>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</si>
  <si>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</si>
  <si>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</si>
  <si>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</si>
  <si>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</si>
  <si>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</si>
  <si>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</si>
  <si>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</si>
  <si>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</si>
  <si>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</si>
  <si>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</si>
  <si>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</si>
  <si>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</si>
  <si>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</si>
  <si>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</si>
  <si>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</si>
  <si>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</si>
  <si>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</si>
  <si>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</si>
  <si>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</si>
  <si>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</si>
  <si>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</si>
  <si>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</si>
  <si>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</si>
  <si>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</si>
  <si>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</si>
  <si>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</si>
  <si>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</si>
  <si>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</si>
  <si>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</si>
  <si>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</si>
  <si>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</si>
  <si>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</si>
  <si>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</si>
  <si>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</si>
  <si>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</si>
  <si>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</si>
  <si>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</si>
  <si>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</si>
  <si>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</si>
  <si>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</si>
  <si>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</si>
  <si>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</si>
  <si>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</si>
  <si>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</si>
  <si>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</si>
  <si>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</si>
  <si>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</si>
  <si>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</si>
  <si>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</si>
  <si>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</si>
  <si>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</si>
  <si>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</si>
  <si>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</si>
  <si>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</si>
  <si>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</si>
  <si>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</si>
  <si>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</si>
  <si>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</si>
  <si>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</si>
  <si>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</si>
  <si>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</si>
  <si>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</si>
  <si>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</si>
  <si>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</si>
  <si>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</si>
  <si>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</si>
  <si>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</si>
  <si>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</si>
  <si>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</si>
  <si>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</si>
  <si>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</si>
  <si>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</si>
  <si>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</si>
  <si>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</si>
  <si>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</si>
  <si>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</si>
  <si>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</si>
  <si>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</si>
  <si>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</si>
  <si>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</si>
  <si>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</si>
  <si>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</si>
  <si>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</si>
  <si>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</si>
  <si>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</si>
  <si>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</si>
  <si>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</si>
  <si>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</si>
  <si>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</si>
  <si>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</si>
  <si>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</si>
  <si>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</si>
  <si>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</si>
  <si>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</si>
  <si>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</si>
  <si>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</si>
  <si>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</si>
  <si>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</si>
  <si>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</si>
  <si>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</si>
  <si>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</si>
  <si>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</si>
  <si>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</si>
  <si>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</si>
  <si>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</si>
  <si>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</si>
  <si>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</si>
  <si>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</si>
  <si>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</si>
  <si>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</si>
  <si>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</si>
  <si>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</si>
  <si>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</si>
  <si>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</si>
  <si>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</si>
  <si>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</si>
  <si>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</si>
  <si>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</si>
  <si>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</si>
  <si>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</si>
  <si>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</si>
  <si>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</si>
  <si>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</si>
  <si>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</si>
  <si>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</si>
  <si>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</si>
  <si>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</si>
  <si>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</si>
  <si>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</si>
  <si>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</si>
  <si>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</si>
  <si>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</si>
  <si>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</si>
  <si>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</si>
  <si>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</si>
  <si>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</si>
  <si>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</si>
  <si>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</si>
  <si>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</si>
  <si>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</si>
  <si>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</si>
  <si>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</si>
  <si>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</si>
  <si>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</si>
  <si>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</si>
  <si>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</si>
  <si>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</si>
  <si>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</si>
  <si>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</si>
  <si>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</si>
  <si>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</si>
  <si>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</si>
  <si>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</si>
  <si>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</si>
  <si>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</si>
  <si>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</si>
  <si>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</si>
  <si>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</si>
  <si>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</si>
  <si>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</si>
  <si>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</si>
  <si>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</si>
  <si>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</si>
  <si>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</si>
  <si>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</si>
  <si>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</si>
  <si>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</si>
  <si>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</si>
  <si>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</si>
  <si>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</si>
  <si>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</si>
  <si>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</si>
  <si>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</si>
  <si>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</si>
  <si>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</si>
  <si>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</si>
  <si>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</si>
  <si>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</si>
  <si>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</si>
  <si>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</si>
  <si>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</si>
  <si>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</si>
  <si>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</si>
  <si>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</si>
  <si>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</si>
  <si>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</si>
  <si>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</si>
  <si>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</si>
  <si>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</si>
  <si>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</si>
  <si>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</si>
  <si>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</si>
  <si>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</si>
  <si>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</si>
  <si>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</si>
  <si>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</si>
  <si>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</si>
  <si>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</si>
  <si>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</si>
  <si>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</si>
  <si>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</si>
  <si>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</si>
  <si>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</si>
  <si>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</si>
  <si>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</si>
  <si>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</si>
  <si>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</si>
  <si>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</si>
  <si>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</si>
  <si>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</si>
  <si>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</si>
  <si>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</si>
  <si>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</si>
  <si>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</si>
  <si>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</si>
  <si>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</si>
  <si>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</si>
  <si>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</si>
  <si>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</si>
  <si>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</si>
  <si>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</si>
  <si>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</si>
  <si>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</si>
  <si>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</si>
  <si>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</si>
  <si>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</si>
  <si>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</si>
  <si>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</si>
  <si>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</si>
  <si>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</si>
  <si>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</si>
  <si>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</si>
  <si>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</si>
  <si>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</si>
  <si>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</si>
  <si>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</si>
  <si>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</si>
  <si>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</si>
  <si>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</si>
  <si>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</si>
  <si>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</si>
  <si>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</si>
  <si>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</si>
  <si>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</si>
  <si>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</si>
  <si>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</si>
  <si>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</si>
  <si>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</si>
  <si>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</si>
  <si>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</si>
  <si>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</si>
  <si>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</si>
  <si>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</si>
  <si>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</si>
  <si>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</si>
  <si>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</si>
  <si>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</si>
  <si>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</si>
  <si>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</si>
  <si>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</si>
  <si>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</si>
  <si>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</si>
  <si>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</si>
  <si>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</si>
  <si>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</si>
  <si>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</si>
  <si>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</si>
  <si>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</si>
  <si>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</si>
  <si>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</si>
  <si>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</si>
  <si>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</si>
  <si>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</si>
  <si>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</si>
  <si>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</si>
  <si>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</si>
  <si>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</si>
  <si>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</si>
  <si>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</si>
  <si>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</si>
  <si>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</si>
  <si>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</si>
  <si>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</si>
  <si>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</si>
  <si>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</si>
  <si>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</si>
  <si>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</si>
  <si>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</si>
  <si>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</si>
  <si>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</si>
  <si>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</si>
  <si>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</si>
  <si>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</si>
  <si>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</si>
  <si>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</si>
  <si>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</si>
  <si>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</si>
  <si>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</si>
  <si>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</si>
  <si>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</si>
  <si>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</si>
  <si>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</si>
  <si>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</si>
  <si>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</si>
  <si>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</si>
  <si>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</si>
  <si>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</si>
  <si>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</si>
  <si>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</si>
  <si>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</si>
  <si>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</si>
  <si>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</si>
  <si>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</si>
  <si>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</si>
  <si>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</si>
  <si>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</si>
  <si>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</si>
  <si>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</si>
  <si>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</si>
  <si>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</si>
  <si>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</si>
  <si>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</si>
  <si>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</si>
  <si>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</si>
  <si>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</si>
  <si>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</si>
  <si>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</si>
  <si>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</si>
  <si>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</si>
  <si>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</si>
  <si>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</si>
  <si>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</si>
  <si>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</si>
  <si>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</si>
  <si>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</si>
  <si>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</si>
  <si>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</si>
  <si>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</si>
  <si>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</si>
  <si>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</si>
  <si>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</si>
  <si>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</si>
  <si>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</si>
  <si>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</si>
  <si>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</si>
  <si>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</si>
  <si>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</si>
  <si>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</si>
  <si>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</si>
  <si>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</si>
  <si>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</si>
  <si>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</si>
  <si>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</si>
  <si>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</si>
  <si>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</si>
  <si>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</si>
  <si>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</si>
  <si>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</si>
  <si>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</si>
  <si>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</si>
  <si>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</si>
  <si>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</si>
  <si>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</si>
  <si>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</si>
  <si>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</si>
  <si>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</si>
  <si>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</si>
  <si>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</si>
  <si>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</si>
  <si>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</si>
  <si>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</si>
  <si>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</si>
  <si>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</si>
  <si>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</si>
  <si>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</si>
  <si>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</si>
  <si>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</si>
  <si>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</si>
  <si>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</si>
  <si>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</si>
  <si>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</si>
  <si>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</si>
  <si>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</si>
  <si>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</si>
  <si>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</si>
  <si>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</si>
  <si>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</si>
  <si>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</si>
  <si>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</si>
  <si>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</si>
  <si>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</si>
  <si>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</si>
  <si>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</si>
  <si>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</si>
  <si>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</si>
  <si>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</si>
  <si>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</si>
  <si>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</si>
  <si>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</si>
  <si>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</si>
  <si>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</si>
  <si>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</si>
  <si>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</si>
  <si>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</si>
  <si>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</si>
  <si>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</si>
  <si>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</si>
  <si>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</si>
  <si>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</si>
  <si>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</si>
  <si>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</si>
  <si>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</si>
  <si>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</si>
  <si>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</si>
  <si>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</si>
  <si>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</si>
  <si>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</si>
  <si>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</si>
  <si>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</si>
  <si>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</si>
  <si>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</si>
  <si>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</si>
  <si>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</si>
  <si>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</si>
  <si>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</si>
  <si>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</si>
  <si>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</si>
  <si>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</si>
  <si>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</si>
  <si>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</si>
  <si>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</si>
  <si>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</si>
  <si>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</si>
  <si>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</si>
  <si>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</si>
  <si>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</si>
  <si>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</si>
  <si>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</si>
  <si>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</si>
  <si>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</si>
  <si>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</si>
  <si>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</si>
  <si>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</si>
  <si>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</si>
  <si>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</si>
  <si>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</si>
  <si>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</si>
  <si>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</si>
  <si>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</si>
  <si>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</si>
  <si>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</si>
  <si>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</si>
  <si>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</si>
  <si>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</si>
  <si>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</si>
  <si>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</si>
  <si>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</si>
  <si>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</si>
  <si>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</si>
  <si>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</si>
  <si>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</si>
  <si>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</si>
  <si>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</si>
  <si>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</si>
  <si>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</si>
  <si>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</si>
  <si>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</si>
  <si>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</si>
  <si>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</si>
  <si>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</si>
  <si>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</si>
  <si>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</si>
  <si>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</si>
  <si>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</si>
  <si>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</si>
  <si>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</si>
  <si>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</si>
  <si>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</si>
  <si>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</si>
  <si>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</si>
  <si>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</si>
  <si>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</si>
  <si>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</si>
  <si>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</si>
  <si>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</si>
  <si>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</si>
  <si>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</si>
  <si>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</si>
  <si>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</si>
  <si>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</si>
  <si>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</si>
  <si>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</si>
  <si>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</si>
  <si>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</si>
  <si>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</si>
  <si>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</si>
  <si>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</si>
  <si>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</si>
  <si>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</si>
  <si>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</si>
  <si>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</si>
  <si>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</si>
  <si>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</si>
  <si>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</si>
  <si>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</si>
  <si>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</si>
  <si>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</si>
  <si>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</si>
  <si>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</si>
  <si>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</si>
  <si>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</si>
  <si>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</si>
  <si>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</si>
  <si>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</si>
  <si>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</si>
  <si>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</si>
  <si>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</si>
  <si>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</si>
  <si>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</si>
  <si>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</si>
  <si>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</si>
  <si>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</si>
  <si>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</si>
  <si>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</si>
  <si>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</si>
  <si>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</si>
  <si>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</si>
  <si>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</si>
  <si>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</si>
  <si>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</si>
  <si>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</si>
  <si>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</si>
  <si>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</si>
  <si>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</si>
  <si>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</si>
  <si>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</si>
  <si>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</si>
  <si>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</si>
  <si>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</si>
  <si>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</si>
  <si>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</si>
  <si>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</si>
  <si>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</si>
  <si>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</si>
  <si>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</si>
  <si>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</si>
  <si>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</si>
  <si>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</si>
  <si>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</si>
  <si>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</si>
  <si>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</si>
  <si>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</si>
  <si>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</si>
  <si>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</si>
  <si>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</si>
  <si>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</si>
  <si>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</si>
  <si>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</si>
  <si>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</si>
  <si>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</si>
  <si>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</si>
  <si>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</si>
  <si>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</si>
  <si>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</si>
  <si>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</si>
  <si>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</si>
  <si>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</si>
  <si>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</si>
  <si>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</si>
  <si>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</si>
  <si>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</si>
  <si>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</si>
  <si>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</si>
  <si>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</si>
  <si>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</si>
  <si>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</si>
  <si>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</si>
  <si>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</si>
  <si>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</si>
  <si>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</si>
  <si>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</si>
  <si>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</si>
  <si>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</si>
  <si>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</si>
  <si>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</si>
  <si>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</si>
  <si>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</si>
  <si>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</si>
  <si>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</si>
  <si>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</si>
  <si>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</si>
  <si>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</si>
  <si>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</si>
  <si>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</si>
  <si>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</si>
  <si>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</si>
  <si>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</si>
  <si>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</si>
  <si>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</si>
  <si>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</si>
  <si>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</si>
  <si>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</si>
  <si>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</si>
  <si>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</si>
  <si>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</si>
  <si>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</si>
  <si>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</si>
  <si>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</si>
  <si>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</si>
  <si>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</si>
  <si>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</si>
  <si>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</si>
  <si>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</si>
  <si>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</si>
  <si>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</si>
  <si>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</si>
  <si>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</si>
  <si>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</si>
  <si>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</si>
  <si>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</si>
  <si>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</si>
  <si>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</si>
  <si>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</si>
  <si>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</si>
  <si>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</si>
  <si>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</si>
  <si>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</si>
  <si>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</si>
  <si>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</si>
  <si>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</si>
  <si>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</si>
  <si>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</si>
  <si>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</si>
  <si>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</si>
  <si>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</si>
  <si>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</si>
  <si>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</si>
  <si>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</si>
  <si>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</si>
  <si>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</si>
  <si>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</si>
  <si>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</si>
  <si>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</si>
  <si>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</si>
  <si>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</si>
  <si>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</si>
  <si>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</si>
  <si>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</si>
  <si>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</si>
  <si>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</si>
  <si>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</si>
  <si>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</si>
  <si>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</si>
  <si>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</si>
  <si>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</si>
  <si>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</si>
  <si>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</si>
  <si>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</si>
  <si>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</si>
  <si>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</si>
  <si>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</si>
  <si>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</si>
  <si>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</si>
  <si>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</si>
  <si>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</si>
  <si>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</si>
  <si>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</si>
  <si>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</si>
  <si>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</si>
  <si>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</si>
  <si>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</si>
  <si>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</si>
  <si>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</si>
  <si>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</si>
  <si>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</si>
  <si>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</si>
  <si>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</si>
  <si>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</si>
  <si>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</si>
  <si>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</si>
  <si>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</si>
  <si>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</si>
  <si>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</si>
  <si>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</si>
  <si>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</si>
  <si>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</si>
  <si>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</si>
  <si>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</si>
  <si>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</si>
  <si>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</si>
  <si>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</si>
  <si>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</si>
  <si>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</si>
  <si>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</si>
  <si>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</si>
  <si>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</si>
  <si>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</si>
  <si>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</si>
  <si>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</si>
  <si>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</si>
  <si>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</si>
  <si>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</si>
  <si>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</si>
  <si>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</si>
  <si>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</si>
  <si>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</si>
  <si>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</si>
  <si>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</si>
  <si>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</si>
  <si>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</si>
  <si>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</si>
  <si>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</si>
  <si>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</si>
  <si>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</si>
  <si>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</si>
  <si>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</si>
  <si>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</si>
  <si>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</si>
  <si>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</si>
  <si>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</si>
  <si>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</si>
  <si>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</si>
  <si>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</si>
  <si>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</si>
  <si>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</si>
  <si>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</si>
  <si>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</si>
  <si>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</si>
  <si>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</si>
  <si>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</si>
  <si>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</si>
  <si>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</si>
  <si>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</si>
  <si>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</si>
  <si>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</si>
  <si>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</si>
  <si>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</si>
  <si>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</si>
  <si>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</si>
  <si>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</si>
  <si>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</si>
  <si>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</si>
  <si>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</si>
  <si>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</si>
  <si>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</si>
  <si>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</si>
  <si>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</si>
  <si>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</si>
  <si>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</si>
  <si>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</si>
  <si>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</si>
  <si>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</si>
  <si>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</si>
  <si>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</si>
  <si>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</si>
  <si>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</si>
  <si>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</si>
  <si>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</si>
  <si>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</si>
  <si>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</si>
  <si>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</si>
  <si>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</si>
  <si>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</si>
  <si>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</si>
  <si>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</si>
  <si>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</si>
  <si>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</si>
  <si>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</si>
  <si>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</si>
  <si>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</si>
  <si>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</si>
  <si>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</si>
  <si>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</si>
  <si>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</si>
  <si>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</si>
  <si>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</si>
  <si>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</si>
  <si>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</si>
  <si>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</si>
  <si>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</si>
  <si>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</si>
  <si>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</si>
  <si>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</si>
  <si>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</si>
  <si>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</si>
  <si>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</si>
  <si>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</si>
  <si>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</si>
  <si>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</si>
  <si>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</si>
  <si>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</si>
  <si>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</si>
  <si>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</si>
  <si>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</si>
  <si>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</si>
  <si>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</si>
  <si>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</si>
  <si>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</si>
  <si>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</si>
  <si>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</si>
  <si>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</si>
  <si>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</si>
  <si>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</si>
  <si>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</si>
  <si>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</si>
  <si>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</si>
  <si>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</si>
  <si>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</si>
  <si>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</si>
  <si>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</si>
  <si>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</si>
  <si>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</si>
  <si>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</si>
  <si>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</si>
  <si>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</si>
  <si>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</si>
  <si>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</si>
  <si>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</si>
  <si>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</si>
  <si>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</si>
  <si>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</si>
  <si>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</si>
  <si>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</si>
  <si>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</si>
  <si>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</si>
  <si>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</si>
  <si>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</si>
  <si>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</si>
  <si>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</si>
  <si>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</si>
  <si>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</si>
  <si>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</si>
  <si>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</si>
  <si>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</si>
  <si>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</si>
  <si>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</si>
  <si>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</si>
  <si>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</si>
  <si>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</si>
  <si>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</si>
  <si>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</si>
  <si>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</si>
  <si>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</si>
  <si>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</si>
  <si>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</si>
  <si>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</si>
  <si>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</si>
  <si>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</si>
  <si>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</si>
  <si>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</si>
  <si>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</si>
  <si>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</si>
  <si>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</si>
  <si>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</si>
  <si>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</si>
  <si>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</si>
  <si>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</si>
  <si>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</si>
  <si>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</si>
  <si>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</si>
  <si>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</si>
  <si>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</si>
  <si>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</si>
  <si>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</si>
  <si>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</si>
  <si>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</si>
  <si>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</si>
  <si>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</si>
  <si>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</si>
  <si>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</si>
  <si>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</si>
  <si>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</si>
  <si>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</si>
  <si>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</si>
  <si>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</si>
  <si>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</si>
  <si>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</si>
  <si>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</si>
  <si>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</si>
  <si>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</si>
  <si>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</si>
  <si>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</si>
  <si>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</si>
  <si>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</si>
  <si>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</si>
  <si>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</si>
  <si>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</si>
  <si>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</si>
  <si>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</si>
  <si>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</si>
  <si>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</si>
  <si>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</si>
  <si>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</si>
  <si>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</si>
  <si>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</si>
  <si>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</si>
  <si>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</si>
  <si>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</si>
  <si>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</si>
  <si>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</si>
  <si>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</si>
  <si>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</si>
  <si>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</si>
  <si>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</si>
  <si>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</si>
  <si>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</si>
  <si>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</si>
  <si>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</si>
  <si>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</si>
  <si>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</si>
  <si>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</si>
  <si>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</si>
  <si>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</si>
  <si>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</si>
  <si>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</si>
  <si>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</si>
  <si>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</si>
  <si>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</si>
  <si>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</si>
  <si>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</si>
  <si>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</si>
  <si>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</si>
  <si>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</si>
  <si>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</si>
  <si>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</si>
  <si>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</si>
  <si>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</si>
  <si>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</si>
  <si>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</si>
  <si>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</si>
  <si>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</si>
  <si>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</si>
  <si>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</si>
  <si>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</si>
  <si>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</si>
  <si>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</si>
  <si>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</si>
  <si>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</si>
  <si>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</si>
  <si>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</si>
  <si>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</si>
  <si>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</si>
  <si>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</si>
  <si>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</si>
  <si>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</si>
  <si>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</si>
  <si>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</si>
  <si>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</si>
  <si>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</si>
  <si>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</si>
  <si>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</si>
  <si>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</si>
  <si>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</si>
  <si>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</si>
  <si>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</si>
  <si>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</si>
  <si>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</si>
  <si>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</si>
  <si>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</si>
  <si>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</si>
  <si>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</si>
  <si>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</si>
  <si>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</si>
  <si>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</si>
  <si>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</si>
  <si>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</si>
  <si>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</si>
  <si>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</si>
  <si>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</si>
  <si>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</si>
  <si>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</si>
  <si>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</si>
  <si>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</si>
  <si>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</si>
  <si>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</si>
  <si>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</si>
  <si>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</si>
  <si>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</si>
  <si>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</si>
  <si>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</si>
  <si>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</si>
  <si>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</si>
  <si>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</si>
  <si>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</si>
  <si>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</si>
  <si>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</si>
  <si>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</si>
  <si>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</si>
  <si>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</si>
  <si>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</si>
  <si>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</si>
  <si>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</si>
  <si>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</si>
  <si>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</si>
  <si>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</si>
  <si>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</si>
  <si>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</si>
  <si>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</si>
  <si>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</si>
  <si>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</si>
  <si>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</si>
  <si>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</si>
  <si>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</si>
  <si>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</si>
  <si>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</si>
  <si>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</si>
  <si>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</si>
  <si>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</si>
  <si>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</si>
  <si>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</si>
  <si>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</si>
  <si>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</si>
  <si>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</si>
  <si>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</si>
  <si>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</si>
  <si>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</si>
  <si>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</si>
  <si>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</si>
  <si>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</si>
  <si>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</si>
  <si>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</si>
  <si>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</si>
  <si>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</si>
  <si>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</si>
  <si>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</si>
  <si>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</si>
  <si>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</si>
  <si>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</si>
  <si>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</si>
  <si>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</si>
  <si>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</si>
  <si>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</si>
  <si>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</si>
  <si>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</si>
  <si>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</si>
  <si>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</si>
  <si>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</si>
  <si>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</si>
  <si>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</si>
  <si>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</si>
  <si>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</si>
  <si>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</si>
  <si>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</si>
  <si>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</si>
  <si>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</si>
  <si>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</si>
  <si>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</si>
  <si>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</si>
  <si>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</si>
  <si>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</si>
  <si>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</si>
  <si>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</si>
  <si>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</si>
  <si>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</si>
  <si>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</si>
  <si>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</si>
  <si>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</si>
  <si>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</si>
  <si>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</si>
  <si>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</si>
  <si>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</si>
  <si>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</si>
  <si>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</si>
  <si>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</si>
  <si>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</si>
  <si>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</si>
  <si>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</si>
  <si>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</si>
  <si>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</si>
  <si>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</si>
  <si>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</si>
  <si>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</si>
  <si>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</si>
  <si>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</si>
  <si>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</si>
  <si>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</si>
  <si>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</si>
  <si>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</si>
  <si>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</si>
  <si>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</si>
  <si>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</si>
  <si>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</si>
  <si>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</si>
  <si>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</si>
  <si>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</si>
  <si>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</si>
  <si>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</si>
  <si>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</si>
  <si>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</si>
  <si>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</si>
  <si>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</si>
  <si>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</si>
  <si>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</si>
  <si>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</si>
  <si>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</si>
  <si>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</si>
  <si>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</si>
  <si>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</si>
  <si>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</si>
  <si>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</si>
  <si>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</si>
  <si>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</si>
  <si>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</si>
  <si>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</si>
  <si>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</si>
  <si>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</si>
  <si>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</si>
  <si>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</si>
  <si>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</si>
  <si>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</si>
  <si>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</si>
  <si>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</si>
  <si>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</si>
  <si>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</si>
  <si>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</si>
  <si>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</si>
  <si>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</si>
  <si>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</si>
  <si>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</si>
  <si>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</si>
  <si>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</si>
  <si>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</si>
  <si>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</si>
  <si>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</si>
  <si>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</si>
  <si>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</si>
  <si>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</si>
  <si>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</si>
  <si>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</si>
  <si>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</si>
  <si>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</si>
  <si>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</si>
  <si>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</si>
  <si>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</si>
  <si>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</si>
  <si>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</si>
  <si>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</si>
  <si>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</si>
  <si>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</si>
  <si>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</si>
  <si>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</si>
  <si>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</si>
  <si>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</si>
  <si>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</si>
  <si>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</si>
  <si>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</si>
  <si>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</si>
  <si>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</si>
  <si>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</si>
  <si>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</si>
  <si>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</si>
  <si>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</si>
  <si>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</si>
  <si>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</si>
  <si>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</si>
  <si>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</si>
  <si>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</si>
  <si>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</si>
  <si>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</si>
  <si>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</si>
  <si>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</si>
  <si>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</si>
  <si>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</si>
  <si>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</si>
  <si>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</si>
  <si>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</si>
  <si>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</si>
  <si>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</si>
  <si>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</si>
  <si>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</si>
  <si>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</si>
  <si>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</si>
  <si>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</si>
  <si>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</si>
  <si>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</si>
  <si>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</si>
  <si>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</si>
  <si>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</si>
  <si>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</si>
  <si>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</si>
  <si>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</si>
  <si>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</si>
  <si>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</si>
  <si>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</si>
  <si>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</si>
  <si>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</si>
  <si>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</si>
  <si>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</si>
  <si>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</si>
  <si>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</si>
  <si>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</si>
  <si>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</si>
  <si>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</si>
  <si>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</si>
  <si>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</si>
  <si>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</si>
  <si>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</si>
  <si>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</si>
  <si>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</si>
  <si>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</si>
  <si>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</si>
  <si>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</si>
  <si>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</si>
  <si>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</si>
  <si>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</si>
  <si>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</si>
  <si>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</si>
  <si>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</si>
  <si>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</si>
  <si>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</si>
  <si>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</si>
  <si>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</si>
  <si>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</si>
  <si>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</si>
  <si>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</si>
  <si>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</si>
  <si>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</si>
  <si>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</si>
  <si>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</si>
  <si>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</si>
  <si>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</si>
  <si>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</si>
  <si>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</si>
  <si>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</si>
  <si>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</si>
  <si>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</si>
  <si>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</si>
  <si>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</si>
  <si>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</si>
  <si>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</si>
  <si>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</si>
  <si>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</si>
  <si>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</si>
  <si>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</si>
  <si>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</si>
  <si>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</si>
  <si>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</si>
  <si>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</si>
  <si>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</si>
  <si>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</si>
  <si>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</si>
  <si>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</si>
  <si>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</si>
  <si>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</si>
  <si>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</si>
  <si>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</si>
  <si>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</si>
  <si>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</si>
  <si>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</si>
  <si>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</si>
  <si>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</si>
  <si>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</si>
  <si>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</si>
  <si>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</si>
  <si>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</si>
  <si>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</si>
  <si>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</si>
  <si>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</si>
  <si>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</si>
  <si>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</si>
  <si>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</si>
  <si>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</si>
  <si>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</si>
  <si>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</si>
  <si>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</si>
  <si>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</si>
  <si>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</si>
  <si>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</si>
  <si>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</si>
  <si>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</si>
  <si>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</si>
  <si>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</si>
  <si>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</si>
  <si>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</si>
  <si>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</si>
  <si>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</si>
  <si>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</si>
  <si>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</si>
  <si>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</si>
  <si>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</si>
  <si>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</si>
  <si>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</si>
  <si>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</si>
  <si>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</si>
  <si>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</si>
  <si>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</si>
  <si>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</si>
  <si>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</si>
  <si>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</si>
  <si>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</si>
  <si>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</si>
  <si>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</si>
  <si>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</si>
  <si>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</si>
  <si>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</si>
  <si>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</si>
  <si>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</si>
  <si>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</si>
  <si>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</si>
  <si>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</si>
  <si>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</si>
  <si>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</si>
  <si>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</si>
  <si>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</si>
  <si>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</si>
  <si>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</si>
  <si>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</si>
  <si>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</si>
  <si>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</si>
  <si>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</si>
  <si>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</si>
  <si>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</si>
  <si>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</si>
  <si>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</si>
  <si>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</si>
  <si>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</si>
  <si>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</si>
  <si>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</si>
  <si>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</si>
  <si>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</si>
  <si>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</si>
  <si>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</si>
  <si>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</si>
  <si>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</si>
  <si>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</si>
  <si>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</si>
  <si>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</si>
  <si>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</si>
  <si>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</si>
  <si>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</si>
  <si>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</si>
  <si>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</si>
  <si>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</si>
  <si>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</si>
  <si>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</si>
  <si>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</si>
  <si>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</si>
  <si>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</si>
  <si>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</si>
  <si>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</si>
  <si>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</si>
  <si>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</si>
  <si>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</si>
  <si>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</si>
  <si>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</si>
  <si>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</si>
  <si>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</si>
  <si>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</si>
  <si>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</si>
  <si>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</si>
  <si>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</si>
  <si>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</si>
  <si>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</si>
  <si>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</si>
  <si>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</si>
  <si>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</si>
  <si>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</si>
  <si>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</si>
  <si>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</si>
  <si>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</si>
  <si>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</si>
  <si>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</si>
  <si>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</si>
  <si>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</si>
  <si>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</si>
  <si>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</si>
  <si>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</si>
  <si>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</si>
  <si>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</si>
  <si>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</si>
  <si>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</si>
  <si>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</si>
  <si>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</si>
  <si>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</si>
  <si>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</si>
  <si>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</si>
  <si>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</si>
  <si>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</si>
  <si>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</si>
  <si>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</si>
  <si>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</si>
  <si>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</si>
  <si>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</si>
  <si>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</si>
  <si>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</si>
  <si>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</si>
  <si>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</si>
  <si>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</si>
  <si>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</si>
  <si>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</si>
  <si>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</si>
  <si>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</si>
  <si>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</si>
  <si>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</si>
  <si>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</si>
  <si>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</si>
  <si>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</si>
  <si>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</si>
  <si>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</si>
  <si>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</si>
  <si>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</si>
  <si>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</si>
  <si>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</si>
  <si>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</si>
  <si>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</si>
  <si>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</si>
  <si>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</si>
  <si>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</si>
  <si>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</si>
  <si>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</si>
  <si>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</si>
  <si>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</si>
  <si>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</si>
  <si>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</si>
  <si>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</si>
  <si>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</si>
  <si>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</si>
  <si>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</si>
  <si>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</si>
  <si>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</si>
  <si>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</si>
  <si>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</si>
  <si>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</si>
  <si>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</si>
  <si>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</si>
  <si>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</si>
  <si>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</si>
  <si>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</si>
  <si>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</si>
  <si>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</si>
  <si>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</si>
  <si>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</si>
  <si>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</si>
  <si>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</si>
  <si>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</si>
  <si>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</si>
  <si>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</si>
  <si>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</si>
  <si>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</si>
  <si>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</si>
  <si>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</si>
  <si>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</si>
  <si>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</si>
  <si>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</si>
  <si>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</si>
  <si>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</si>
  <si>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</si>
  <si>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</si>
  <si>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</si>
  <si>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</si>
  <si>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</si>
  <si>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</si>
  <si>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</si>
  <si>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</si>
  <si>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</si>
  <si>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</si>
  <si>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</si>
  <si>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</si>
  <si>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</si>
  <si>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</si>
  <si>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</si>
  <si>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</si>
  <si>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</si>
  <si>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</si>
  <si>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</si>
  <si>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</si>
  <si>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</si>
  <si>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</si>
  <si>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</si>
  <si>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</si>
  <si>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</si>
  <si>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</si>
  <si>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</si>
  <si>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</si>
  <si>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</si>
  <si>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</si>
  <si>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</si>
  <si>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</si>
  <si>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</si>
  <si>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</si>
  <si>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</si>
  <si>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</si>
  <si>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</si>
  <si>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</si>
  <si>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</si>
  <si>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</si>
  <si>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</si>
  <si>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</si>
  <si>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</si>
  <si>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</si>
  <si>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</si>
  <si>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</si>
  <si>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</si>
  <si>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</si>
  <si>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</si>
  <si>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</si>
  <si>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</si>
  <si>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</si>
  <si>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</si>
  <si>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</si>
  <si>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</si>
  <si>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</si>
  <si>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</si>
  <si>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</si>
  <si>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</si>
  <si>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</si>
  <si>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</si>
  <si>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</si>
  <si>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</si>
  <si>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</si>
  <si>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</si>
  <si>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</si>
  <si>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</si>
  <si>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</si>
  <si>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</si>
  <si>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</si>
  <si>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</si>
  <si>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</si>
  <si>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</si>
  <si>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</si>
  <si>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</si>
  <si>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</si>
  <si>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</si>
  <si>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</si>
  <si>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</si>
  <si>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</si>
  <si>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</si>
  <si>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</si>
  <si>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</si>
  <si>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</si>
  <si>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</si>
  <si>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</si>
  <si>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</si>
  <si>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</si>
  <si>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</si>
  <si>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</si>
  <si>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</si>
  <si>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</si>
  <si>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</si>
  <si>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</si>
  <si>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</si>
  <si>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</si>
  <si>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</si>
  <si>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</si>
  <si>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</si>
  <si>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</si>
  <si>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</si>
  <si>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</si>
  <si>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</si>
  <si>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</si>
  <si>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</si>
  <si>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</si>
  <si>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</si>
  <si>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</si>
  <si>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</si>
  <si>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</si>
  <si>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</si>
  <si>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</si>
  <si>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</si>
  <si>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</si>
  <si>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</si>
  <si>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</si>
  <si>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</si>
  <si>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</si>
  <si>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</si>
  <si>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</si>
  <si>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</si>
  <si>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</si>
  <si>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</si>
  <si>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</si>
  <si>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</si>
  <si>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</si>
  <si>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</si>
  <si>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</si>
  <si>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</si>
  <si>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</si>
  <si>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</si>
  <si>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</si>
  <si>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</si>
  <si>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</si>
  <si>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</si>
  <si>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</si>
  <si>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</si>
  <si>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</si>
  <si>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</si>
  <si>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</si>
  <si>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</si>
  <si>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</si>
  <si>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</si>
  <si>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</si>
  <si>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</si>
  <si>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</si>
  <si>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</si>
  <si>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</si>
  <si>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</si>
  <si>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</si>
  <si>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</si>
  <si>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</si>
  <si>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</si>
  <si>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</si>
  <si>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</si>
  <si>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</si>
  <si>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</si>
  <si>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</si>
  <si>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</si>
  <si>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</si>
  <si>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</si>
  <si>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</si>
  <si>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</si>
  <si>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</si>
  <si>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</si>
  <si>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</si>
  <si>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</si>
  <si>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</si>
  <si>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</si>
  <si>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</si>
  <si>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</si>
  <si>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</si>
  <si>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</si>
  <si>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</si>
  <si>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</si>
  <si>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</si>
  <si>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</si>
  <si>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</si>
  <si>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</si>
  <si>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</si>
  <si>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</si>
  <si>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</si>
  <si>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</si>
  <si>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</si>
  <si>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</si>
  <si>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</si>
  <si>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</si>
  <si>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</si>
  <si>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</si>
  <si>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</si>
  <si>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</si>
  <si>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</si>
  <si>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</si>
  <si>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</si>
  <si>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</si>
  <si>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</si>
  <si>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</si>
  <si>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</si>
  <si>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</si>
  <si>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</si>
  <si>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</si>
  <si>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</si>
  <si>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</si>
  <si>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</si>
  <si>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</si>
  <si>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</si>
  <si>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</si>
  <si>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</si>
  <si>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</si>
  <si>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</si>
  <si>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</si>
  <si>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</si>
  <si>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</si>
  <si>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</si>
  <si>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</si>
  <si>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</si>
  <si>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</si>
  <si>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</si>
  <si>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</si>
  <si>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</si>
  <si>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</si>
  <si>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</si>
  <si>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</si>
  <si>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</si>
  <si>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</si>
  <si>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</si>
  <si>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</si>
  <si>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</si>
  <si>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</si>
  <si>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</si>
  <si>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</si>
  <si>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</si>
  <si>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</si>
  <si>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</si>
  <si>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</si>
  <si>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</si>
  <si>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</si>
  <si>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</si>
  <si>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</si>
  <si>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</si>
  <si>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</si>
  <si>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</si>
  <si>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</si>
  <si>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</si>
  <si>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</si>
  <si>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</si>
  <si>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</si>
  <si>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</si>
  <si>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</si>
  <si>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</si>
  <si>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</si>
  <si>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</si>
  <si>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</si>
  <si>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</si>
  <si>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</si>
  <si>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</si>
  <si>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</si>
  <si>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</si>
  <si>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</si>
  <si>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</si>
  <si>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</si>
  <si>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</si>
  <si>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</si>
  <si>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</si>
  <si>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</si>
  <si>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</si>
  <si>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</si>
  <si>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</si>
  <si>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</si>
  <si>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</si>
  <si>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</si>
  <si>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</si>
  <si>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</si>
  <si>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</si>
  <si>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</si>
  <si>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</si>
  <si>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</si>
  <si>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</si>
  <si>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</si>
  <si>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</si>
  <si>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</si>
  <si>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</si>
  <si>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</si>
  <si>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</si>
  <si>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</si>
  <si>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</si>
  <si>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</si>
  <si>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</si>
  <si>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</si>
  <si>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</si>
  <si>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</si>
  <si>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</si>
  <si>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</si>
  <si>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</si>
  <si>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</si>
  <si>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</si>
  <si>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</si>
  <si>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</si>
  <si>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</si>
  <si>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</si>
  <si>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</si>
  <si>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</si>
  <si>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</si>
  <si>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</si>
  <si>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</si>
  <si>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</si>
  <si>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</si>
  <si>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</si>
  <si>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</si>
  <si>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</si>
  <si>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</si>
  <si>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</si>
  <si>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</si>
  <si>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</si>
  <si>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</si>
  <si>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</si>
  <si>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</si>
  <si>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</si>
  <si>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</si>
  <si>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</si>
  <si>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</si>
  <si>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</si>
  <si>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</si>
  <si>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</si>
  <si>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</si>
  <si>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</si>
  <si>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</si>
  <si>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</si>
  <si>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</si>
  <si>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</si>
  <si>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</si>
  <si>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</si>
  <si>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</si>
  <si>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</si>
  <si>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</si>
  <si>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</si>
  <si>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</si>
  <si>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</si>
  <si>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</si>
  <si>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</si>
  <si>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</si>
  <si>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</si>
  <si>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</si>
  <si>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</si>
  <si>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</si>
  <si>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</si>
  <si>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</si>
  <si>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</si>
  <si>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</si>
  <si>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</si>
  <si>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</si>
  <si>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</si>
  <si>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</si>
  <si>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</si>
  <si>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</si>
  <si>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</si>
  <si>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</si>
  <si>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</si>
  <si>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</si>
  <si>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</si>
  <si>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</si>
  <si>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</si>
  <si>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</si>
  <si>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</si>
  <si>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</si>
  <si>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</si>
  <si>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</si>
  <si>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</si>
  <si>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</si>
  <si>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</si>
  <si>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</si>
  <si>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</si>
  <si>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</si>
  <si>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</si>
  <si>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</si>
  <si>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</si>
  <si>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</si>
  <si>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</si>
  <si>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</si>
  <si>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</si>
  <si>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</si>
  <si>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</si>
  <si>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</si>
  <si>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</si>
  <si>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</si>
  <si>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</si>
  <si>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</si>
  <si>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</si>
  <si>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</si>
  <si>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</si>
  <si>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</si>
  <si>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</si>
  <si>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</si>
  <si>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</si>
  <si>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</si>
  <si>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</si>
  <si>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</si>
  <si>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</si>
  <si>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</si>
  <si>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</si>
  <si>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</si>
  <si>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</si>
  <si>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</si>
  <si>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</si>
  <si>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</si>
  <si>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</si>
  <si>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</si>
  <si>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</si>
  <si>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</si>
  <si>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</si>
  <si>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</si>
  <si>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</si>
  <si>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</si>
  <si>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</si>
  <si>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</si>
  <si>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</si>
  <si>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</si>
  <si>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</si>
  <si>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</si>
  <si>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</si>
  <si>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</si>
  <si>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</si>
  <si>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</si>
  <si>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</si>
  <si>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</si>
  <si>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</si>
  <si>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</si>
  <si>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</si>
  <si>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</si>
  <si>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</si>
  <si>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</si>
  <si>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</si>
  <si>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</si>
  <si>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</si>
  <si>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</si>
  <si>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</si>
  <si>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</si>
  <si>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</si>
  <si>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</si>
  <si>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</si>
  <si>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</si>
  <si>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</si>
  <si>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</si>
  <si>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</si>
  <si>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</si>
  <si>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</si>
  <si>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</si>
  <si>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</si>
  <si>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</si>
  <si>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</si>
  <si>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</si>
  <si>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</si>
  <si>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</si>
  <si>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</si>
  <si>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</si>
  <si>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</si>
  <si>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</si>
  <si>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</si>
  <si>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</si>
  <si>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</si>
  <si>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</si>
  <si>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</si>
  <si>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</si>
  <si>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</si>
  <si>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</si>
  <si>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</si>
  <si>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</si>
  <si>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</si>
  <si>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</si>
  <si>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</si>
  <si>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</si>
  <si>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</si>
  <si>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</si>
  <si>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</si>
  <si>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</si>
  <si>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</si>
  <si>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</si>
  <si>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</si>
  <si>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</si>
  <si>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</si>
  <si>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</si>
  <si>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</si>
  <si>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</si>
  <si>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</si>
  <si>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</si>
  <si>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</si>
  <si>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</si>
  <si>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</si>
  <si>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</si>
  <si>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</si>
  <si>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</si>
  <si>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</si>
  <si>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</si>
  <si>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</si>
  <si>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</si>
  <si>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</si>
  <si>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</si>
  <si>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</si>
  <si>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</si>
  <si>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</si>
  <si>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</si>
  <si>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</si>
  <si>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</si>
  <si>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</si>
  <si>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</si>
  <si>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</si>
  <si>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</si>
  <si>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</si>
  <si>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</si>
  <si>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</si>
  <si>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</si>
  <si>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</si>
  <si>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</si>
  <si>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</si>
  <si>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</si>
  <si>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</si>
  <si>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</si>
  <si>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</si>
  <si>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</si>
  <si>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</si>
  <si>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</si>
  <si>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</si>
  <si>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</si>
  <si>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</si>
  <si>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</si>
  <si>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</si>
  <si>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</si>
  <si>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</si>
  <si>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</si>
  <si>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</si>
  <si>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</si>
  <si>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</si>
  <si>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</si>
  <si>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</si>
  <si>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</si>
  <si>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</si>
  <si>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</si>
  <si>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</si>
  <si>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</si>
  <si>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</si>
  <si>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</si>
  <si>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</si>
  <si>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</si>
  <si>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</si>
  <si>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</si>
  <si>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</si>
  <si>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</si>
  <si>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</si>
  <si>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</si>
  <si>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</si>
  <si>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</si>
  <si>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</si>
  <si>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</si>
  <si>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</si>
  <si>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</si>
  <si>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</si>
  <si>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</si>
  <si>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</si>
  <si>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</si>
  <si>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</si>
  <si>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</si>
  <si>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</si>
  <si>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</si>
  <si>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</si>
  <si>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</si>
  <si>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</si>
  <si>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</si>
  <si>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</si>
  <si>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</si>
  <si>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</si>
  <si>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</si>
  <si>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</si>
  <si>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</si>
  <si>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</si>
  <si>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</si>
  <si>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</si>
  <si>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</si>
  <si>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</si>
  <si>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</si>
  <si>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</si>
  <si>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</si>
  <si>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</si>
  <si>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</si>
  <si>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</si>
  <si>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</si>
  <si>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</si>
  <si>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</si>
  <si>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</si>
  <si>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</si>
  <si>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</si>
  <si>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</si>
  <si>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</si>
  <si>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</si>
  <si>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</si>
  <si>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</si>
  <si>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</si>
  <si>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</si>
  <si>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</si>
  <si>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</si>
  <si>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</si>
  <si>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</si>
  <si>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</si>
  <si>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</si>
  <si>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</si>
  <si>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</si>
  <si>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</si>
  <si>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</si>
  <si>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</si>
  <si>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</si>
  <si>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</si>
  <si>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</si>
  <si>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</si>
  <si>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</si>
  <si>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</si>
  <si>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</si>
  <si>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</si>
  <si>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</si>
  <si>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</si>
  <si>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</si>
  <si>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</si>
  <si>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</si>
  <si>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</si>
  <si>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</si>
  <si>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</si>
  <si>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</si>
  <si>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</si>
  <si>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</si>
  <si>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</si>
  <si>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</si>
  <si>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</si>
  <si>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</si>
  <si>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</si>
  <si>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</si>
  <si>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</si>
  <si>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</si>
  <si>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</si>
  <si>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</si>
  <si>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</si>
  <si>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</si>
  <si>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</si>
  <si>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</si>
  <si>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</si>
  <si>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</si>
  <si>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</si>
  <si>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</si>
  <si>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</si>
  <si>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</si>
  <si>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</si>
  <si>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</si>
  <si>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</si>
  <si>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</si>
  <si>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</si>
  <si>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</si>
  <si>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</si>
  <si>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</si>
  <si>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</si>
  <si>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</si>
  <si>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</si>
  <si>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</si>
  <si>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</si>
  <si>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</si>
  <si>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</si>
  <si>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</si>
  <si>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</si>
  <si>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</si>
  <si>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</si>
  <si>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</si>
  <si>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</si>
  <si>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</si>
  <si>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</si>
  <si>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</si>
  <si>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</si>
  <si>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</si>
  <si>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</si>
  <si>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</si>
  <si>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</si>
  <si>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</si>
  <si>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</si>
  <si>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</si>
  <si>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</si>
  <si>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</si>
  <si>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</si>
  <si>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</si>
  <si>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</si>
  <si>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</si>
  <si>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</si>
  <si>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</si>
  <si>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</si>
  <si>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</si>
  <si>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</si>
  <si>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</si>
  <si>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</si>
  <si>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</si>
  <si>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</si>
  <si>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</si>
  <si>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</si>
  <si>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</si>
  <si>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</si>
  <si>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</si>
  <si>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</si>
  <si>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</si>
  <si>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</si>
  <si>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</si>
  <si>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</si>
  <si>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</si>
  <si>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</si>
  <si>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</si>
  <si>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</si>
  <si>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</si>
  <si>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</si>
  <si>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</si>
  <si>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</si>
  <si>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</si>
  <si>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</si>
  <si>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</si>
  <si>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</si>
  <si>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</si>
  <si>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</si>
  <si>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</si>
  <si>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</si>
  <si>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</si>
  <si>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</si>
  <si>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</si>
  <si>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</si>
  <si>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</si>
  <si>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</si>
  <si>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</si>
  <si>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</si>
  <si>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</si>
  <si>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</si>
  <si>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</si>
  <si>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</si>
  <si>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</si>
  <si>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</si>
  <si>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</si>
  <si>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</si>
  <si>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</si>
  <si>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</si>
  <si>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</si>
  <si>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</si>
  <si>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</si>
  <si>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</si>
  <si>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</si>
  <si>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</si>
  <si>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</si>
  <si>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</si>
  <si>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</si>
  <si>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</si>
  <si>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</si>
  <si>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</si>
  <si>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</si>
  <si>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</si>
  <si>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</si>
  <si>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</si>
  <si>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</si>
  <si>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</si>
  <si>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</si>
  <si>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</si>
  <si>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</si>
  <si>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</si>
  <si>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</si>
  <si>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</si>
  <si>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</si>
  <si>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</si>
  <si>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</si>
  <si>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</si>
  <si>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</si>
  <si>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</si>
  <si>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</si>
  <si>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</si>
  <si>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</si>
  <si>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</si>
  <si>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</si>
  <si>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</si>
  <si>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</si>
  <si>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</si>
  <si>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</si>
  <si>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</si>
  <si>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</si>
  <si>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</si>
  <si>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</si>
  <si>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</si>
  <si>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</si>
  <si>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</si>
  <si>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</si>
  <si>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</si>
  <si>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</si>
  <si>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</si>
  <si>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</si>
  <si>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</si>
  <si>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</si>
  <si>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</si>
  <si>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</si>
  <si>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</si>
  <si>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</si>
  <si>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</si>
  <si>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</si>
  <si>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</si>
  <si>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</si>
  <si>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</si>
  <si>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</si>
  <si>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</si>
  <si>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</si>
  <si>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</si>
  <si>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</si>
  <si>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</si>
  <si>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</si>
  <si>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</si>
  <si>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</si>
  <si>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</si>
  <si>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</si>
  <si>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</si>
  <si>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</si>
  <si>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</si>
  <si>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</si>
  <si>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</si>
  <si>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</si>
  <si>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</si>
  <si>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</si>
  <si>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</si>
  <si>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</si>
  <si>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</si>
  <si>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</si>
  <si>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</si>
  <si>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</si>
  <si>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</si>
  <si>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</si>
  <si>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</si>
  <si>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</si>
  <si>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</si>
  <si>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</si>
  <si>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</si>
  <si>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</si>
  <si>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</si>
  <si>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</si>
  <si>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</si>
  <si>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</si>
  <si>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</si>
  <si>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</si>
  <si>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</si>
  <si>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</si>
  <si>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</si>
  <si>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</si>
  <si>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</si>
  <si>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</si>
  <si>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</si>
  <si>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</si>
  <si>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</si>
  <si>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</si>
  <si>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</si>
  <si>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</si>
  <si>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</si>
  <si>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</si>
  <si>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</si>
  <si>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</si>
  <si>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</si>
  <si>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</si>
  <si>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</si>
  <si>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</si>
  <si>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</si>
  <si>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</si>
  <si>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</si>
  <si>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</si>
  <si>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</si>
  <si>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</si>
  <si>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</si>
  <si>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</si>
  <si>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</si>
  <si>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</si>
  <si>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</si>
  <si>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</si>
  <si>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</si>
  <si>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</si>
  <si>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</si>
  <si>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</si>
  <si>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</si>
  <si>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</si>
  <si>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</si>
  <si>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</si>
  <si>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</si>
  <si>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</si>
  <si>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</si>
  <si>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</si>
  <si>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</si>
  <si>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</si>
  <si>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</si>
  <si>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</si>
  <si>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</si>
  <si>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</si>
  <si>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</si>
  <si>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</si>
  <si>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</si>
  <si>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</si>
  <si>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</si>
  <si>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</si>
  <si>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</si>
  <si>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</si>
  <si>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</si>
  <si>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</si>
  <si>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</si>
  <si>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</si>
  <si>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</si>
  <si>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</si>
  <si>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</si>
  <si>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</si>
  <si>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</si>
  <si>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</si>
  <si>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</si>
  <si>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</si>
  <si>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</si>
  <si>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</si>
  <si>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</si>
  <si>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</si>
  <si>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</si>
  <si>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</si>
  <si>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</si>
  <si>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</si>
  <si>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</si>
  <si>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</si>
  <si>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</si>
  <si>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</si>
  <si>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</si>
  <si>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</si>
  <si>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</si>
  <si>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</si>
  <si>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</si>
  <si>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</si>
  <si>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</si>
  <si>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</si>
  <si>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</si>
  <si>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</si>
  <si>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</si>
  <si>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</si>
  <si>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</si>
  <si>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</si>
  <si>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</si>
  <si>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</si>
  <si>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</si>
  <si>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</si>
  <si>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</si>
  <si>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</si>
  <si>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</si>
  <si>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</si>
  <si>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</si>
  <si>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</si>
  <si>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</si>
  <si>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</si>
  <si>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</si>
  <si>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</si>
  <si>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</si>
  <si>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</si>
  <si>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</si>
  <si>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</si>
  <si>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</si>
  <si>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</si>
  <si>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</si>
  <si>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</si>
  <si>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</si>
  <si>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</si>
  <si>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</si>
  <si>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</si>
  <si>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</si>
  <si>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</si>
  <si>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</si>
  <si>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</si>
  <si>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</si>
  <si>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</si>
  <si>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</si>
  <si>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</si>
  <si>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</si>
  <si>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</si>
  <si>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</si>
  <si>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</si>
  <si>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</si>
  <si>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</si>
  <si>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</si>
  <si>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</si>
  <si>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</si>
  <si>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</si>
  <si>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</si>
  <si>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</si>
  <si>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</si>
  <si>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</si>
  <si>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</si>
  <si>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</si>
  <si>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</si>
  <si>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</si>
  <si>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</si>
  <si>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</si>
  <si>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</si>
  <si>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</si>
  <si>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</si>
  <si>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</si>
  <si>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</si>
  <si>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</si>
  <si>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</si>
  <si>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</si>
  <si>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</si>
  <si>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</si>
  <si>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</si>
  <si>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</si>
  <si>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</si>
  <si>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</si>
  <si>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</si>
  <si>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</si>
  <si>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</si>
  <si>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</si>
  <si>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</si>
  <si>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</si>
  <si>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</si>
  <si>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</si>
  <si>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</si>
  <si>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</si>
  <si>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</si>
  <si>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</si>
  <si>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</si>
  <si>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</si>
  <si>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</si>
  <si>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</si>
  <si>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</si>
  <si>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</si>
  <si>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</si>
  <si>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</si>
  <si>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</si>
  <si>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</si>
  <si>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</si>
  <si>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</si>
  <si>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</si>
  <si>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</si>
  <si>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</si>
  <si>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</si>
  <si>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</si>
  <si>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</si>
  <si>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</si>
  <si>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</si>
  <si>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</si>
  <si>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</si>
  <si>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</si>
  <si>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</si>
  <si>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</si>
  <si>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</si>
  <si>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</si>
  <si>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</si>
  <si>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</si>
  <si>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</si>
  <si>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</si>
  <si>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</si>
  <si>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</si>
  <si>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</si>
  <si>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</si>
  <si>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</si>
  <si>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</si>
  <si>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</si>
  <si>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</si>
  <si>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</si>
  <si>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</si>
  <si>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</si>
  <si>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</si>
  <si>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</si>
  <si>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</si>
  <si>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</si>
  <si>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</si>
  <si>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</si>
  <si>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</si>
  <si>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</si>
  <si>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</si>
  <si>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</si>
  <si>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</si>
  <si>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</si>
  <si>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</si>
  <si>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</si>
  <si>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</si>
  <si>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</si>
  <si>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</si>
  <si>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</si>
  <si>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</si>
  <si>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</si>
  <si>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</si>
  <si>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</si>
  <si>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</si>
  <si>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</si>
  <si>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</si>
  <si>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</si>
  <si>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</si>
  <si>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</si>
  <si>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</si>
  <si>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</si>
  <si>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</si>
  <si>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</si>
  <si>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</si>
  <si>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</si>
  <si>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</si>
  <si>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</si>
  <si>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</si>
  <si>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</si>
  <si>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</si>
  <si>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</si>
  <si>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</si>
  <si>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</si>
  <si>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</si>
  <si>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</si>
  <si>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</si>
  <si>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</si>
  <si>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</si>
  <si>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</si>
  <si>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</si>
  <si>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</si>
  <si>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</si>
  <si>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</si>
  <si>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</si>
  <si>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</si>
  <si>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</si>
  <si>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</si>
  <si>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</si>
  <si>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</si>
  <si>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</si>
  <si>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</si>
  <si>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</si>
  <si>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</si>
  <si>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</si>
  <si>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</si>
  <si>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</si>
  <si>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</si>
  <si>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</si>
  <si>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</si>
  <si>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</si>
  <si>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</si>
  <si>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</si>
  <si>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</si>
  <si>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</si>
  <si>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</si>
  <si>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</si>
  <si>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</si>
  <si>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</si>
  <si>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</si>
  <si>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</si>
  <si>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</si>
  <si>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</si>
  <si>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</si>
  <si>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</si>
  <si>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</si>
  <si>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</si>
  <si>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</si>
  <si>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</si>
  <si>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</si>
  <si>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</si>
  <si>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</si>
  <si>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</si>
  <si>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</si>
  <si>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</si>
  <si>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</si>
  <si>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</si>
  <si>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</si>
  <si>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</si>
  <si>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</si>
  <si>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</si>
  <si>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</si>
  <si>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</si>
  <si>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</si>
  <si>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</si>
  <si>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</si>
  <si>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</si>
  <si>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</si>
  <si>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</si>
  <si>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</si>
  <si>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</si>
  <si>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</si>
  <si>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</si>
  <si>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</si>
  <si>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</si>
  <si>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</si>
  <si>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</si>
  <si>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</si>
  <si>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</si>
  <si>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</si>
  <si>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</si>
  <si>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</si>
  <si>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</si>
  <si>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</si>
  <si>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</si>
  <si>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</si>
  <si>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</si>
  <si>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</si>
  <si>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</si>
  <si>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</si>
  <si>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</si>
  <si>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</si>
  <si>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</si>
  <si>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</si>
  <si>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</si>
  <si>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</si>
  <si>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</si>
  <si>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</si>
  <si>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</si>
  <si>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</si>
  <si>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</si>
  <si>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</si>
  <si>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</si>
  <si>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</si>
  <si>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</si>
  <si>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</si>
  <si>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</si>
  <si>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</si>
  <si>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</si>
  <si>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</si>
  <si>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</si>
  <si>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</si>
  <si>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</si>
  <si>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</si>
  <si>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</si>
  <si>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</si>
  <si>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</si>
  <si>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</si>
  <si>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</si>
  <si>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</si>
  <si>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</si>
  <si>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</si>
  <si>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</si>
  <si>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</si>
  <si>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</si>
  <si>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</si>
  <si>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</si>
  <si>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</si>
  <si>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</si>
  <si>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</si>
  <si>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</si>
  <si>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</si>
  <si>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</si>
  <si>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</si>
  <si>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</si>
  <si>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</si>
  <si>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</si>
  <si>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</si>
  <si>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</si>
  <si>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</si>
  <si>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</si>
  <si>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</si>
  <si>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</si>
  <si>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</si>
  <si>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</si>
  <si>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</si>
  <si>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</si>
  <si>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</si>
  <si>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</si>
  <si>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</si>
  <si>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</si>
  <si>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</si>
  <si>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</si>
  <si>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</si>
  <si>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</si>
  <si>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</si>
  <si>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</si>
  <si>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</si>
  <si>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</si>
  <si>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</si>
  <si>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</si>
  <si>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</si>
  <si>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</si>
  <si>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</si>
  <si>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</si>
  <si>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</si>
  <si>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</si>
  <si>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</si>
  <si>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</si>
  <si>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</si>
  <si>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</si>
  <si>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</si>
  <si>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</si>
  <si>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</si>
  <si>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</si>
  <si>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</si>
  <si>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</si>
  <si>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</si>
  <si>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</si>
  <si>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</si>
  <si>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</si>
  <si>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</si>
  <si>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</si>
  <si>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</si>
  <si>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</si>
  <si>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</si>
  <si>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</si>
  <si>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</si>
  <si>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</si>
  <si>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</si>
  <si>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</si>
  <si>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</si>
  <si>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</si>
  <si>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</si>
  <si>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</si>
  <si>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</si>
  <si>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</si>
  <si>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</si>
  <si>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</si>
  <si>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</si>
  <si>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</si>
  <si>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</si>
  <si>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</si>
  <si>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</si>
  <si>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</si>
  <si>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</si>
  <si>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</si>
  <si>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</si>
  <si>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</si>
  <si>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</si>
  <si>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</si>
  <si>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</si>
  <si>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</si>
  <si>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</si>
  <si>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</si>
  <si>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</si>
  <si>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</si>
  <si>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</si>
  <si>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</si>
  <si>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</si>
  <si>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</si>
  <si>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</si>
  <si>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</si>
  <si>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</si>
  <si>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</si>
  <si>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</si>
  <si>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</si>
  <si>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</si>
  <si>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</si>
  <si>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</si>
  <si>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</si>
  <si>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</si>
  <si>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</si>
  <si>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</si>
  <si>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</si>
  <si>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</si>
  <si>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</si>
  <si>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</si>
  <si>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</si>
  <si>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</si>
  <si>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</si>
  <si>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</si>
  <si>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</si>
  <si>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</si>
  <si>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</si>
  <si>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</si>
  <si>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</si>
  <si>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</si>
  <si>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</si>
  <si>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</si>
  <si>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</si>
  <si>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</si>
  <si>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</si>
  <si>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</si>
  <si>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</si>
  <si>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</si>
  <si>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</si>
  <si>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</si>
  <si>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</si>
  <si>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</si>
  <si>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</si>
  <si>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</si>
  <si>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</si>
  <si>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</si>
  <si>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</si>
  <si>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</si>
  <si>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</si>
  <si>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</si>
  <si>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</si>
  <si>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</si>
  <si>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</si>
  <si>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</si>
  <si>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</si>
  <si>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</si>
  <si>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</si>
  <si>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</si>
  <si>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</si>
  <si>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</si>
  <si>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</si>
  <si>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</si>
  <si>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</si>
  <si>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</si>
  <si>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</si>
  <si>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</si>
  <si>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</si>
  <si>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</si>
  <si>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</si>
  <si>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</si>
  <si>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</si>
  <si>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</si>
  <si>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</si>
  <si>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</si>
  <si>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</si>
  <si>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</si>
  <si>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</si>
  <si>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</si>
  <si>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</si>
  <si>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</si>
  <si>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</si>
  <si>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</si>
  <si>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</si>
  <si>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</si>
  <si>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</si>
  <si>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</si>
  <si>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</si>
  <si>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</si>
  <si>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</si>
  <si>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</si>
  <si>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</si>
  <si>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</si>
  <si>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</si>
  <si>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</si>
  <si>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</si>
  <si>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</si>
  <si>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</si>
  <si>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</si>
  <si>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</si>
  <si>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</si>
  <si>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</si>
  <si>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</si>
  <si>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</si>
  <si>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</si>
  <si>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</si>
  <si>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</si>
  <si>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</si>
  <si>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</si>
  <si>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</si>
  <si>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</si>
  <si>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</si>
  <si>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</si>
  <si>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</si>
  <si>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</si>
  <si>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</si>
  <si>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</si>
  <si>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</si>
  <si>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</si>
  <si>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</si>
  <si>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</si>
  <si>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</si>
  <si>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</si>
  <si>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</si>
  <si>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</si>
  <si>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</si>
  <si>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</si>
  <si>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</si>
  <si>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</si>
  <si>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</si>
  <si>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</si>
  <si>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</si>
  <si>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</si>
  <si>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</si>
  <si>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</si>
  <si>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</si>
  <si>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</si>
  <si>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</si>
  <si>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</si>
  <si>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</si>
  <si>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</si>
  <si>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</si>
  <si>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</si>
  <si>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</si>
  <si>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</si>
  <si>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</si>
  <si>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</si>
  <si>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</si>
  <si>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</si>
  <si>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</si>
  <si>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</si>
  <si>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</si>
  <si>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</si>
  <si>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</si>
  <si>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</si>
  <si>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</si>
  <si>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</si>
  <si>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</si>
  <si>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</si>
  <si>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</si>
  <si>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</si>
  <si>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</si>
  <si>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</si>
  <si>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</si>
  <si>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</si>
  <si>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</si>
  <si>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</si>
  <si>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</si>
  <si>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</si>
  <si>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</si>
  <si>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</si>
  <si>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</si>
  <si>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</si>
  <si>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</si>
  <si>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</si>
  <si>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</si>
  <si>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</si>
  <si>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</si>
  <si>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</si>
  <si>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</si>
  <si>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</si>
  <si>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</si>
  <si>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</si>
  <si>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</si>
  <si>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</si>
  <si>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</si>
  <si>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</si>
  <si>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</si>
  <si>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</si>
  <si>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</si>
  <si>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</si>
  <si>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</si>
  <si>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</si>
  <si>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</si>
  <si>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</si>
  <si>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</si>
  <si>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</si>
  <si>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</si>
  <si>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</si>
  <si>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</si>
  <si>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</si>
  <si>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</si>
  <si>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</si>
  <si>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</si>
  <si>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</si>
  <si>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</si>
  <si>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</si>
  <si>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</si>
  <si>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</si>
  <si>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</si>
  <si>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</si>
  <si>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</si>
  <si>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</si>
  <si>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</si>
  <si>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</si>
  <si>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</si>
  <si>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</si>
  <si>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</si>
  <si>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</si>
  <si>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</si>
  <si>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</si>
  <si>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</si>
  <si>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</si>
  <si>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</si>
  <si>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</si>
  <si>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</si>
  <si>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</si>
  <si>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</si>
  <si>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</si>
  <si>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</si>
  <si>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</si>
  <si>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</si>
  <si>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</si>
  <si>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</si>
  <si>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</si>
  <si>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</si>
  <si>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</si>
  <si>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</si>
  <si>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</si>
  <si>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</si>
  <si>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</si>
  <si>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</si>
  <si>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</si>
  <si>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</si>
  <si>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</si>
  <si>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</si>
  <si>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</si>
  <si>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</si>
  <si>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</si>
  <si>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</si>
  <si>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</si>
  <si>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</si>
  <si>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</si>
  <si>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</si>
  <si>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</si>
  <si>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</si>
  <si>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</si>
  <si>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</si>
  <si>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</si>
  <si>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</si>
  <si>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</si>
  <si>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</si>
  <si>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</si>
  <si>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</si>
  <si>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</si>
  <si>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</si>
  <si>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</si>
  <si>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</si>
  <si>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</si>
  <si>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</si>
  <si>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</si>
  <si>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</si>
  <si>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</si>
  <si>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</si>
  <si>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</si>
  <si>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</si>
  <si>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</si>
  <si>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</si>
  <si>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</si>
  <si>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</si>
  <si>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</si>
  <si>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</si>
  <si>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</si>
  <si>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</si>
  <si>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</si>
  <si>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</si>
  <si>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</si>
  <si>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</si>
  <si>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</si>
  <si>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</si>
  <si>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</si>
  <si>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</si>
  <si>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</si>
  <si>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</si>
  <si>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</si>
  <si>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</si>
  <si>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</si>
  <si>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</si>
  <si>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</si>
  <si>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</si>
  <si>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</si>
  <si>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</si>
  <si>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</si>
  <si>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</si>
  <si>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</si>
  <si>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</si>
  <si>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</si>
  <si>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</si>
  <si>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</si>
  <si>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</si>
  <si>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</si>
  <si>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</si>
  <si>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</si>
  <si>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</si>
  <si>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</si>
  <si>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</si>
  <si>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</si>
  <si>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</si>
  <si>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</si>
  <si>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</si>
  <si>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</si>
  <si>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</si>
  <si>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</si>
  <si>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</si>
  <si>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</si>
  <si>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</si>
  <si>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</si>
  <si>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</si>
  <si>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</si>
  <si>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</si>
  <si>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</si>
  <si>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</si>
  <si>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</si>
  <si>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</si>
  <si>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</si>
  <si>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</si>
  <si>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</si>
  <si>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</si>
  <si>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</si>
  <si>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</si>
  <si>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</si>
  <si>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</si>
  <si>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</si>
  <si>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</si>
  <si>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</si>
  <si>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</si>
  <si>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</si>
  <si>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</si>
  <si>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</si>
  <si>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</si>
  <si>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</si>
  <si>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</si>
  <si>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</si>
  <si>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</si>
  <si>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</si>
  <si>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</si>
  <si>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</si>
  <si>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</si>
  <si>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</si>
  <si>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</si>
  <si>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</si>
  <si>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</si>
  <si>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</si>
  <si>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</si>
  <si>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</si>
  <si>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</si>
  <si>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</si>
  <si>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</si>
  <si>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</si>
  <si>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</si>
  <si>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</si>
  <si>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</si>
  <si>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</si>
  <si>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</si>
  <si>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</si>
  <si>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</si>
  <si>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</si>
  <si>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</si>
  <si>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</si>
  <si>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</si>
  <si>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</si>
  <si>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</si>
  <si>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</si>
  <si>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</si>
  <si>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</si>
  <si>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</si>
  <si>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</si>
  <si>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</si>
  <si>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</si>
  <si>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</si>
  <si>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</si>
  <si>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</si>
  <si>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</si>
  <si>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</si>
  <si>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</si>
  <si>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</si>
  <si>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</si>
  <si>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</si>
  <si>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</si>
  <si>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</si>
  <si>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</si>
  <si>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</si>
  <si>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</si>
  <si>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</si>
  <si>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</si>
  <si>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</si>
  <si>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</si>
  <si>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</si>
  <si>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</si>
  <si>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</si>
  <si>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</si>
  <si>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</si>
  <si>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</si>
  <si>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</si>
  <si>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</si>
  <si>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</si>
  <si>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</si>
  <si>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</si>
  <si>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</si>
  <si>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</si>
  <si>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</si>
  <si>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</si>
  <si>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</si>
  <si>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</si>
  <si>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</si>
  <si>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</si>
  <si>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</si>
  <si>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</si>
  <si>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</si>
  <si>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</si>
  <si>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</si>
  <si>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</si>
  <si>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</si>
  <si>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</si>
  <si>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</si>
  <si>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</si>
  <si>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</si>
  <si>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</si>
  <si>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</si>
  <si>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</si>
  <si>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</si>
  <si>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</si>
  <si>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</si>
  <si>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</si>
  <si>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</si>
  <si>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</si>
  <si>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</si>
  <si>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</si>
  <si>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</si>
  <si>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</si>
  <si>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</si>
  <si>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</si>
  <si>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</si>
  <si>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</si>
  <si>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</si>
  <si>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</si>
  <si>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</si>
  <si>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</si>
  <si>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</si>
  <si>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</si>
  <si>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</si>
  <si>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</si>
  <si>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</si>
  <si>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</si>
  <si>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</si>
  <si>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</si>
  <si>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</si>
  <si>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</si>
  <si>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</si>
  <si>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</si>
  <si>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</si>
  <si>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</si>
  <si>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</si>
  <si>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</si>
  <si>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</si>
  <si>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</si>
  <si>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</si>
  <si>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</si>
  <si>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</si>
  <si>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</si>
  <si>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</si>
  <si>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</si>
  <si>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</si>
  <si>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</si>
  <si>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</si>
  <si>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</si>
  <si>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</si>
  <si>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</si>
  <si>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</si>
  <si>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</si>
  <si>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</si>
  <si>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</si>
  <si>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</si>
  <si>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</si>
  <si>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</si>
  <si>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</si>
  <si>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</si>
  <si>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</si>
  <si>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</si>
  <si>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</si>
  <si>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</si>
  <si>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</si>
  <si>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</si>
  <si>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</si>
  <si>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</si>
  <si>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</si>
  <si>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</si>
  <si>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</si>
  <si>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</si>
  <si>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</si>
  <si>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</si>
  <si>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</si>
  <si>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</si>
  <si>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</si>
  <si>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</si>
  <si>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</si>
  <si>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</si>
  <si>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</si>
  <si>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</si>
  <si>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</si>
  <si>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</si>
  <si>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</si>
  <si>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</si>
  <si>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</si>
  <si>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</si>
  <si>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</si>
  <si>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</si>
  <si>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</si>
  <si>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</si>
  <si>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</si>
  <si>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</si>
  <si>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</si>
  <si>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</si>
  <si>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</si>
  <si>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</si>
  <si>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</si>
  <si>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</si>
  <si>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</si>
  <si>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</si>
  <si>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</si>
  <si>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</si>
  <si>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</si>
  <si>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</si>
  <si>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</si>
  <si>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</si>
  <si>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</si>
  <si>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</si>
  <si>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</si>
  <si>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</si>
  <si>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</si>
  <si>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</si>
  <si>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</si>
  <si>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</si>
  <si>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</si>
  <si>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</si>
  <si>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</si>
  <si>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</si>
  <si>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</si>
  <si>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</si>
  <si>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</si>
  <si>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</si>
  <si>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</si>
  <si>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</si>
  <si>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</si>
  <si>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</si>
  <si>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</si>
  <si>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</si>
  <si>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</si>
  <si>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</si>
  <si>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</si>
  <si>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</si>
  <si>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</si>
  <si>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</si>
  <si>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</si>
  <si>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</si>
  <si>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</si>
  <si>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</si>
  <si>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</si>
  <si>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</si>
  <si>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</si>
  <si>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</si>
  <si>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</si>
  <si>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</si>
  <si>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</si>
  <si>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</si>
  <si>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</si>
  <si>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</si>
  <si>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</si>
  <si>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</si>
  <si>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</si>
  <si>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</si>
  <si>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</si>
  <si>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</si>
  <si>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</si>
  <si>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</si>
  <si>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</si>
  <si>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</si>
  <si>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</si>
  <si>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</si>
  <si>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</si>
  <si>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</si>
  <si>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</si>
  <si>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</si>
  <si>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</si>
  <si>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</si>
  <si>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</si>
  <si>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</si>
  <si>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</si>
  <si>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</si>
  <si>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</si>
  <si>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</si>
  <si>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</si>
  <si>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</si>
  <si>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</si>
  <si>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</si>
  <si>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</si>
  <si>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</si>
  <si>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</si>
  <si>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</si>
  <si>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</si>
  <si>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</si>
  <si>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</si>
  <si>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</si>
  <si>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</si>
  <si>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</si>
  <si>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</si>
  <si>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</si>
  <si>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</si>
  <si>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</si>
  <si>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</si>
  <si>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</si>
  <si>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</si>
  <si>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</si>
  <si>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</si>
  <si>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</si>
  <si>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</si>
  <si>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</si>
  <si>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</si>
  <si>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</si>
  <si>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</si>
  <si>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</si>
  <si>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</si>
  <si>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</si>
  <si>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</si>
  <si>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</si>
  <si>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</si>
  <si>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</si>
  <si>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</si>
  <si>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</si>
  <si>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</si>
  <si>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</si>
  <si>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</si>
  <si>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</si>
  <si>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</si>
  <si>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</si>
  <si>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</si>
  <si>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</si>
  <si>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</si>
  <si>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</si>
  <si>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</si>
  <si>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</si>
  <si>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</si>
  <si>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</si>
  <si>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</si>
  <si>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</si>
  <si>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</si>
  <si>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</si>
  <si>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</si>
  <si>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</si>
  <si>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</si>
  <si>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</si>
  <si>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</si>
  <si>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</si>
  <si>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</si>
  <si>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</si>
  <si>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</si>
  <si>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</si>
  <si>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</si>
  <si>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</si>
  <si>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</si>
  <si>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</si>
  <si>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</si>
  <si>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</si>
  <si>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</si>
  <si>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</si>
  <si>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</si>
  <si>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</si>
  <si>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</si>
  <si>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</si>
  <si>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</si>
  <si>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</si>
  <si>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</si>
  <si>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</si>
  <si>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</si>
  <si>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</si>
  <si>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</si>
  <si>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</si>
  <si>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</si>
  <si>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</si>
  <si>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</si>
  <si>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</si>
  <si>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</si>
  <si>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</si>
  <si>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</si>
  <si>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</si>
  <si>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</si>
  <si>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</si>
  <si>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</si>
  <si>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</si>
  <si>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</si>
  <si>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</si>
  <si>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</si>
  <si>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</si>
  <si>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</si>
  <si>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</si>
  <si>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</si>
  <si>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</si>
  <si>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</si>
  <si>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</si>
  <si>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</si>
  <si>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</si>
  <si>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</si>
  <si>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</si>
  <si>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</si>
  <si>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</si>
  <si>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</si>
  <si>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</si>
  <si>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</si>
  <si>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</si>
  <si>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</si>
  <si>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</si>
  <si>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</si>
  <si>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</si>
  <si>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</si>
  <si>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</si>
  <si>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</si>
  <si>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</si>
  <si>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</si>
  <si>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</si>
  <si>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</si>
  <si>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</si>
  <si>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</si>
  <si>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</si>
  <si>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</si>
  <si>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</si>
  <si>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</si>
  <si>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</si>
  <si>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</si>
  <si>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</si>
  <si>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</si>
  <si>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</si>
  <si>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</si>
  <si>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</si>
  <si>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</si>
  <si>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</si>
  <si>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</si>
  <si>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</si>
  <si>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</si>
  <si>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</si>
  <si>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</si>
  <si>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</si>
  <si>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</si>
  <si>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</si>
  <si>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</si>
  <si>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</si>
  <si>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</si>
  <si>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</si>
  <si>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</si>
  <si>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</si>
  <si>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</si>
  <si>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</si>
  <si>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</si>
  <si>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</si>
  <si>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</si>
  <si>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</si>
  <si>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</si>
  <si>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</si>
  <si>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</si>
  <si>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</si>
  <si>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</si>
  <si>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</si>
  <si>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</si>
  <si>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</si>
  <si>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</si>
  <si>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</si>
  <si>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</si>
  <si>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</si>
  <si>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</si>
  <si>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</si>
  <si>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</si>
  <si>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</si>
  <si>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</si>
  <si>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</si>
  <si>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</si>
  <si>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</si>
  <si>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</si>
  <si>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</si>
  <si>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</si>
  <si>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</si>
  <si>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</si>
  <si>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</si>
  <si>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</si>
  <si>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</si>
  <si>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</si>
  <si>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</si>
  <si>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</si>
  <si>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</si>
  <si>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</si>
  <si>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</si>
  <si>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</si>
  <si>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</si>
  <si>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</si>
  <si>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</si>
  <si>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</si>
  <si>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</si>
  <si>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</si>
  <si>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</si>
  <si>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</si>
  <si>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</si>
  <si>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</si>
  <si>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</si>
  <si>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</si>
  <si>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</si>
  <si>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</si>
  <si>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</si>
  <si>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</si>
  <si>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</si>
  <si>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</si>
  <si>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</si>
  <si>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</si>
  <si>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</si>
  <si>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</si>
  <si>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</si>
  <si>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</si>
  <si>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</si>
  <si>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</si>
  <si>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</si>
  <si>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</si>
  <si>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</si>
  <si>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</si>
  <si>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</si>
  <si>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</si>
  <si>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</si>
  <si>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</si>
  <si>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</si>
  <si>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</si>
  <si>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</si>
  <si>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</si>
  <si>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</si>
  <si>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</si>
  <si>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</si>
  <si>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</si>
  <si>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</si>
  <si>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</si>
  <si>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</si>
  <si>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</si>
  <si>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</si>
  <si>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</si>
  <si>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</si>
  <si>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</si>
  <si>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</si>
  <si>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</si>
  <si>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Shenzhen Amorphous technology co.,ltd</t>
    <phoneticPr fontId="4" type="noConversion"/>
  </si>
  <si>
    <t>Amorphous core/transformer/choke</t>
    <phoneticPr fontId="4" type="noConversion"/>
  </si>
  <si>
    <t>91440300597755683M</t>
    <phoneticPr fontId="4" type="noConversion"/>
  </si>
  <si>
    <t>105# Notting Hill, wanke City, Banxuegang Road, Bantian Street ,Shenzhen city,china</t>
    <phoneticPr fontId="4" type="noConversion"/>
  </si>
  <si>
    <t>mina</t>
    <phoneticPr fontId="4" type="noConversion"/>
  </si>
  <si>
    <t>nishu_sat@163.com</t>
    <phoneticPr fontId="4" type="noConversion"/>
  </si>
  <si>
    <t>+86 15217748213</t>
    <phoneticPr fontId="4" type="noConversion"/>
  </si>
  <si>
    <t>David</t>
    <phoneticPr fontId="4" type="noConversion"/>
  </si>
  <si>
    <t>General manager</t>
    <phoneticPr fontId="4" type="noConversion"/>
  </si>
  <si>
    <t>max22fire@163.com</t>
    <phoneticPr fontId="4" type="noConversion"/>
  </si>
  <si>
    <t>+86 15986617467</t>
    <phoneticPr fontId="4" type="noConversion"/>
  </si>
  <si>
    <t>www.sat-cn.com</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</si>
</sst>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quot;$&quot;* #,##0_-;\-&quot;$&quot;* #,##0_-;_-&quot;$&quot;* &quot;-&quot;_-;_-@_-"/>
    <numFmt numFmtId="181" formatCode="_-* #,##0_-;\-* #,##0_-;_-* &quot;-&quot;_-;_-@_-"/>
    <numFmt numFmtId="182" formatCode="_-&quot;$&quot;* #,##0.00_-;\-&quot;$&quot;* #,##0.00_-;_-&quot;$&quot;* &quot;-&quot;??_-;_-@_-"/>
    <numFmt numFmtId="183" formatCode="_-* #,##0.00_-;\-* #,##0.00_-;_-* &quot;-&quot;??_-;_-@_-"/>
    <numFmt numFmtId="184" formatCode="[$-409]mmmm\ d\,\ yyyy;@"/>
    <numFmt numFmtId="185" formatCode="[$-409]d\-mmm\-yyyy;@"/>
    <numFmt numFmtId="186" formatCode="0.0"/>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24">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宋体"/>
      <family val="3"/>
      <charset val="128"/>
      <scheme val="minor"/>
    </font>
    <font>
      <sz val="10"/>
      <color rgb="FFFF0000"/>
      <name val="Verdana"/>
      <family val="2"/>
    </font>
    <font>
      <sz val="10"/>
      <name val="宋体"/>
      <family val="3"/>
      <charset val="128"/>
      <scheme val="major"/>
    </font>
    <font>
      <u/>
      <sz val="12"/>
      <color indexed="12"/>
      <name val="宋体"/>
      <family val="3"/>
      <charset val="128"/>
      <scheme val="major"/>
    </font>
    <font>
      <sz val="12"/>
      <name val="宋体"/>
      <family val="3"/>
      <charset val="128"/>
      <scheme val="major"/>
    </font>
    <font>
      <sz val="12"/>
      <name val="宋体"/>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77"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8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8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84" fontId="80" fillId="0" borderId="0" applyNumberFormat="0" applyFill="0" applyBorder="0" applyAlignment="0" applyProtection="0"/>
    <xf numFmtId="0" fontId="81" fillId="0" borderId="0" applyNumberFormat="0" applyFill="0" applyBorder="0" applyAlignment="0" applyProtection="0"/>
    <xf numFmtId="184" fontId="80" fillId="0" borderId="0" applyNumberFormat="0" applyFill="0" applyBorder="0" applyAlignment="0" applyProtection="0">
      <alignment vertical="top"/>
      <protection locked="0"/>
    </xf>
    <xf numFmtId="18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8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84" fontId="86" fillId="0" borderId="0"/>
    <xf numFmtId="0" fontId="6" fillId="0" borderId="0"/>
    <xf numFmtId="0" fontId="6" fillId="0" borderId="0"/>
    <xf numFmtId="18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84" fontId="86" fillId="0" borderId="0"/>
    <xf numFmtId="0" fontId="5" fillId="0" borderId="0"/>
    <xf numFmtId="184" fontId="6" fillId="0" borderId="0"/>
    <xf numFmtId="0" fontId="69" fillId="0" borderId="0"/>
    <xf numFmtId="0" fontId="69" fillId="0" borderId="0"/>
    <xf numFmtId="184" fontId="5" fillId="0" borderId="0"/>
    <xf numFmtId="0" fontId="69" fillId="0" borderId="0"/>
    <xf numFmtId="0" fontId="5" fillId="0" borderId="0"/>
    <xf numFmtId="0" fontId="69" fillId="0" borderId="0"/>
    <xf numFmtId="0" fontId="87" fillId="0" borderId="0">
      <alignment vertical="center"/>
    </xf>
    <xf numFmtId="18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84" fontId="86" fillId="0" borderId="0"/>
    <xf numFmtId="18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84" fontId="10" fillId="0" borderId="0"/>
    <xf numFmtId="0" fontId="6" fillId="0" borderId="0"/>
    <xf numFmtId="0" fontId="6" fillId="0" borderId="0"/>
    <xf numFmtId="0" fontId="6" fillId="0" borderId="0"/>
    <xf numFmtId="184" fontId="6" fillId="0" borderId="0"/>
  </cellStyleXfs>
  <cellXfs count="450">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8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8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8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8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84" fontId="0" fillId="2" borderId="4" xfId="0" applyNumberFormat="1" applyFont="1" applyFill="1" applyBorder="1" applyAlignment="1">
      <alignment vertical="top" wrapText="1"/>
    </xf>
    <xf numFmtId="184" fontId="0" fillId="2" borderId="0" xfId="0" applyNumberFormat="1" applyFont="1" applyFill="1" applyBorder="1" applyAlignment="1"/>
    <xf numFmtId="184" fontId="9" fillId="2" borderId="0" xfId="0" applyNumberFormat="1" applyFont="1" applyFill="1" applyBorder="1"/>
    <xf numFmtId="184" fontId="14" fillId="2" borderId="0" xfId="0" applyNumberFormat="1" applyFont="1" applyFill="1" applyBorder="1" applyAlignment="1">
      <alignment horizontal="center" vertical="center" wrapText="1"/>
    </xf>
    <xf numFmtId="184" fontId="11" fillId="2" borderId="0" xfId="0" applyNumberFormat="1" applyFont="1" applyFill="1" applyBorder="1" applyAlignment="1">
      <alignment horizontal="center" vertical="center"/>
    </xf>
    <xf numFmtId="184" fontId="0" fillId="2" borderId="0" xfId="0" applyNumberFormat="1" applyFont="1" applyFill="1" applyBorder="1"/>
    <xf numFmtId="184" fontId="27" fillId="2" borderId="11" xfId="570" applyNumberFormat="1" applyFont="1" applyFill="1" applyBorder="1" applyAlignment="1">
      <alignment horizontal="center" vertical="center" wrapText="1"/>
    </xf>
    <xf numFmtId="184" fontId="0" fillId="0" borderId="0" xfId="0" applyNumberFormat="1" applyFont="1" applyFill="1" applyBorder="1"/>
    <xf numFmtId="18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8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7" fillId="0" borderId="0" xfId="0" applyFont="1" applyAlignment="1">
      <alignment vertical="center" wrapText="1"/>
    </xf>
    <xf numFmtId="184" fontId="96"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84" fontId="97" fillId="0" borderId="0" xfId="480" applyFont="1" applyFill="1" applyAlignment="1">
      <alignment vertical="center" wrapText="1"/>
    </xf>
    <xf numFmtId="0" fontId="96" fillId="0" borderId="0" xfId="0" applyFont="1" applyFill="1" applyAlignment="1">
      <alignment vertical="center" wrapText="1"/>
    </xf>
    <xf numFmtId="0" fontId="110"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2"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84" fontId="96" fillId="0" borderId="0" xfId="480" applyFont="1" applyFill="1" applyAlignment="1">
      <alignment vertical="center" wrapText="1"/>
    </xf>
    <xf numFmtId="0" fontId="55" fillId="0" borderId="0" xfId="0" applyFont="1" applyFill="1" applyAlignment="1">
      <alignment horizontal="left" vertical="center" wrapText="1"/>
    </xf>
    <xf numFmtId="0" fontId="114"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8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1"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8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84" fontId="96" fillId="0" borderId="0" xfId="480" applyFont="1" applyFill="1" applyBorder="1" applyAlignment="1">
      <alignment vertical="center" wrapText="1"/>
    </xf>
    <xf numFmtId="0" fontId="104"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8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2" fillId="0" borderId="0" xfId="527" applyFont="1" applyFill="1" applyAlignment="1">
      <alignment horizontal="left" vertical="center" wrapText="1"/>
    </xf>
    <xf numFmtId="184" fontId="6" fillId="0" borderId="0" xfId="480" applyAlignment="1">
      <alignment vertical="center"/>
    </xf>
    <xf numFmtId="0" fontId="123" fillId="0" borderId="0" xfId="0" applyFont="1" applyAlignment="1">
      <alignment vertical="center" wrapText="1"/>
    </xf>
    <xf numFmtId="0" fontId="55" fillId="0" borderId="0" xfId="0" applyFont="1" applyAlignment="1">
      <alignment vertical="center" wrapText="1"/>
    </xf>
    <xf numFmtId="184" fontId="25" fillId="0" borderId="42" xfId="570" applyNumberFormat="1" applyFont="1" applyFill="1" applyBorder="1" applyAlignment="1">
      <alignment horizontal="center" vertical="top" wrapText="1"/>
    </xf>
    <xf numFmtId="184" fontId="25" fillId="0" borderId="43" xfId="570" applyNumberFormat="1" applyFont="1" applyFill="1" applyBorder="1" applyAlignment="1">
      <alignment horizontal="center" vertical="top" wrapText="1"/>
    </xf>
    <xf numFmtId="18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84" fontId="25" fillId="2" borderId="42" xfId="570" applyNumberFormat="1" applyFont="1" applyFill="1" applyBorder="1" applyAlignment="1">
      <alignment horizontal="center" vertical="top" wrapText="1"/>
    </xf>
    <xf numFmtId="184" fontId="25" fillId="2" borderId="43" xfId="570" applyNumberFormat="1" applyFont="1" applyFill="1" applyBorder="1" applyAlignment="1">
      <alignment horizontal="center" vertical="top" wrapText="1"/>
    </xf>
    <xf numFmtId="18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xf>
    <xf numFmtId="49" fontId="102" fillId="2" borderId="1" xfId="487" applyNumberFormat="1" applyFont="1" applyFill="1" applyBorder="1" applyAlignment="1" applyProtection="1">
      <alignment horizontal="left" vertical="center" wrapText="1"/>
      <protection locked="0"/>
    </xf>
    <xf numFmtId="49" fontId="102"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3" fillId="2" borderId="1" xfId="0" applyNumberFormat="1" applyFont="1" applyFill="1" applyBorder="1" applyAlignment="1" applyProtection="1">
      <alignment horizontal="left" vertical="center" wrapText="1"/>
      <protection locked="0"/>
    </xf>
    <xf numFmtId="49" fontId="103" fillId="2" borderId="28" xfId="0" applyNumberFormat="1" applyFont="1" applyFill="1" applyBorder="1" applyAlignment="1" applyProtection="1">
      <alignment horizontal="left" vertical="center" wrapText="1"/>
      <protection locked="0"/>
    </xf>
    <xf numFmtId="185" fontId="14" fillId="2" borderId="25" xfId="0" applyNumberFormat="1" applyFont="1" applyFill="1" applyBorder="1" applyAlignment="1" applyProtection="1">
      <alignment horizontal="center" wrapText="1"/>
      <protection locked="0"/>
    </xf>
    <xf numFmtId="18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7" fillId="2" borderId="52" xfId="487" applyNumberFormat="1" applyFill="1" applyBorder="1" applyAlignment="1" applyProtection="1">
      <alignment horizontal="left" vertical="center" wrapText="1"/>
      <protection locked="0"/>
    </xf>
    <xf numFmtId="0" fontId="7" fillId="2" borderId="52" xfId="487" applyFill="1" applyBorder="1" applyAlignment="1" applyProtection="1">
      <alignment horizontal="left" vertical="center" wrapText="1"/>
      <protection locked="0"/>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標準 2" xfId="589" xr:uid="{00000000-0005-0000-0000-00004D020000}"/>
    <cellStyle name="標準 2 2" xfId="590" xr:uid="{00000000-0005-0000-0000-00004E020000}"/>
    <cellStyle name="標準 2 3" xfId="591" xr:uid="{00000000-0005-0000-0000-00004F020000}"/>
    <cellStyle name="常规" xfId="0" builtinId="0"/>
    <cellStyle name="超链接" xfId="487" builtinId="8"/>
    <cellStyle name="一般 7" xfId="588" xr:uid="{00000000-0005-0000-0000-00004C020000}"/>
    <cellStyle name="표준 2" xfId="587" xr:uid="{00000000-0005-0000-0000-00004B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2394041</xdr:colOff>
      <xdr:row>2</xdr:row>
      <xdr:rowOff>1358083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nishu_sat@163.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at-cn.com/" TargetMode="External"/><Relationship Id="rId4" Type="http://schemas.openxmlformats.org/officeDocument/2006/relationships/hyperlink" Target="mailto:max22fire@163.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3"/>
      <c r="B2" s="38" t="s">
        <v>963</v>
      </c>
      <c r="C2" s="36"/>
      <c r="D2" s="207"/>
      <c r="E2" s="3"/>
      <c r="F2" s="36"/>
      <c r="G2" s="34"/>
    </row>
    <row r="3" spans="1:7">
      <c r="A3" s="353"/>
      <c r="B3" s="5" t="s">
        <v>952</v>
      </c>
      <c r="C3" s="6"/>
      <c r="D3" s="208"/>
      <c r="E3" s="3"/>
      <c r="F3" s="6"/>
      <c r="G3" s="34"/>
    </row>
    <row r="4" spans="1:7" ht="15.75">
      <c r="A4" s="353"/>
      <c r="B4" s="41" t="s">
        <v>965</v>
      </c>
      <c r="C4" s="7"/>
      <c r="D4" s="209"/>
      <c r="E4" s="3"/>
      <c r="F4" s="7"/>
      <c r="G4" s="34"/>
    </row>
    <row r="5" spans="1:7">
      <c r="A5" s="353"/>
      <c r="B5" s="40" t="s">
        <v>1157</v>
      </c>
      <c r="C5" s="4"/>
      <c r="D5" s="210"/>
      <c r="E5" s="3"/>
      <c r="F5" s="4"/>
      <c r="G5" s="34"/>
    </row>
    <row r="6" spans="1:7">
      <c r="A6" s="353"/>
      <c r="B6" s="8"/>
      <c r="C6" s="8"/>
      <c r="D6" s="211"/>
      <c r="E6" s="8"/>
      <c r="F6" s="8"/>
      <c r="G6" s="34"/>
    </row>
    <row r="7" spans="1:7">
      <c r="A7" s="353"/>
      <c r="B7" s="8"/>
      <c r="C7" s="8"/>
      <c r="D7" s="211"/>
      <c r="E7" s="8"/>
      <c r="F7" s="8"/>
      <c r="G7" s="34"/>
    </row>
    <row r="8" spans="1:7">
      <c r="A8" s="353"/>
      <c r="B8" s="8"/>
      <c r="C8" s="8"/>
      <c r="D8" s="211"/>
      <c r="E8" s="8"/>
      <c r="F8" s="8"/>
      <c r="G8" s="34"/>
    </row>
    <row r="9" spans="1:7">
      <c r="A9" s="353"/>
      <c r="B9" s="356" t="s">
        <v>966</v>
      </c>
      <c r="C9" s="356"/>
      <c r="D9" s="356"/>
      <c r="E9" s="356"/>
      <c r="F9" s="356"/>
      <c r="G9" s="34"/>
    </row>
    <row r="10" spans="1:7" ht="27" customHeight="1">
      <c r="A10" s="353"/>
      <c r="B10" s="357" t="s">
        <v>506</v>
      </c>
      <c r="C10" s="357"/>
      <c r="D10" s="357"/>
      <c r="E10" s="357"/>
      <c r="F10" s="357"/>
      <c r="G10" s="34"/>
    </row>
    <row r="11" spans="1:7" ht="27" customHeight="1">
      <c r="A11" s="353"/>
      <c r="B11" s="358"/>
      <c r="C11" s="358"/>
      <c r="D11" s="358"/>
      <c r="E11" s="358"/>
      <c r="F11" s="358"/>
      <c r="G11" s="34"/>
    </row>
    <row r="12" spans="1:7">
      <c r="A12" s="353"/>
      <c r="B12" s="42" t="s">
        <v>964</v>
      </c>
      <c r="C12" s="43" t="s">
        <v>967</v>
      </c>
      <c r="D12" s="212" t="s">
        <v>968</v>
      </c>
      <c r="E12" s="43" t="s">
        <v>701</v>
      </c>
      <c r="F12" s="43" t="s">
        <v>702</v>
      </c>
      <c r="G12" s="34"/>
    </row>
    <row r="13" spans="1:7" ht="33.75">
      <c r="A13" s="353"/>
      <c r="B13" s="2">
        <v>1</v>
      </c>
      <c r="C13" s="37" t="s">
        <v>1208</v>
      </c>
      <c r="D13" s="39" t="s">
        <v>992</v>
      </c>
      <c r="E13" s="196" t="s">
        <v>969</v>
      </c>
      <c r="F13" s="196"/>
      <c r="G13" s="34"/>
    </row>
    <row r="14" spans="1:7" ht="33.75">
      <c r="A14" s="353"/>
      <c r="B14" s="2">
        <v>2</v>
      </c>
      <c r="C14" s="37" t="s">
        <v>1208</v>
      </c>
      <c r="D14" s="39" t="s">
        <v>1142</v>
      </c>
      <c r="E14" s="196" t="s">
        <v>602</v>
      </c>
      <c r="F14" s="196" t="s">
        <v>603</v>
      </c>
      <c r="G14" s="34"/>
    </row>
    <row r="15" spans="1:7" ht="89.1" customHeight="1">
      <c r="A15" s="353"/>
      <c r="B15" s="359">
        <v>2.0099999999999998</v>
      </c>
      <c r="C15" s="350" t="s">
        <v>1208</v>
      </c>
      <c r="D15" s="362" t="s">
        <v>2686</v>
      </c>
      <c r="E15" s="197" t="s">
        <v>703</v>
      </c>
      <c r="F15" s="197" t="s">
        <v>706</v>
      </c>
      <c r="G15" s="34"/>
    </row>
    <row r="16" spans="1:7" ht="99" customHeight="1">
      <c r="A16" s="353"/>
      <c r="B16" s="360"/>
      <c r="C16" s="351"/>
      <c r="D16" s="363"/>
      <c r="E16" s="198"/>
      <c r="F16" s="198" t="s">
        <v>704</v>
      </c>
      <c r="G16" s="34"/>
    </row>
    <row r="17" spans="1:7" ht="63" customHeight="1">
      <c r="A17" s="353"/>
      <c r="B17" s="361"/>
      <c r="C17" s="352"/>
      <c r="D17" s="364"/>
      <c r="E17" s="37"/>
      <c r="F17" s="37" t="s">
        <v>705</v>
      </c>
      <c r="G17" s="34"/>
    </row>
    <row r="18" spans="1:7" ht="117" customHeight="1">
      <c r="A18" s="353"/>
      <c r="B18" s="359">
        <v>2.02</v>
      </c>
      <c r="C18" s="350" t="s">
        <v>1208</v>
      </c>
      <c r="D18" s="362" t="s">
        <v>2687</v>
      </c>
      <c r="E18" s="197" t="s">
        <v>507</v>
      </c>
      <c r="F18" s="197" t="s">
        <v>596</v>
      </c>
      <c r="G18" s="34"/>
    </row>
    <row r="19" spans="1:7" ht="71.099999999999994" customHeight="1">
      <c r="A19" s="353"/>
      <c r="B19" s="360"/>
      <c r="C19" s="351"/>
      <c r="D19" s="363"/>
      <c r="E19" s="198" t="s">
        <v>601</v>
      </c>
      <c r="F19" s="198" t="s">
        <v>508</v>
      </c>
      <c r="G19" s="34"/>
    </row>
    <row r="20" spans="1:7" ht="90.75" customHeight="1">
      <c r="A20" s="353"/>
      <c r="B20" s="360"/>
      <c r="C20" s="351"/>
      <c r="D20" s="363"/>
      <c r="E20" s="198"/>
      <c r="F20" s="198" t="s">
        <v>708</v>
      </c>
      <c r="G20" s="34"/>
    </row>
    <row r="21" spans="1:7" ht="74.25" customHeight="1">
      <c r="A21" s="353"/>
      <c r="B21" s="361"/>
      <c r="C21" s="352"/>
      <c r="D21" s="364"/>
      <c r="E21" s="37"/>
      <c r="F21" s="37" t="s">
        <v>707</v>
      </c>
      <c r="G21" s="34"/>
    </row>
    <row r="22" spans="1:7" ht="90" customHeight="1">
      <c r="A22" s="353"/>
      <c r="B22" s="368">
        <v>2.0299999999999998</v>
      </c>
      <c r="C22" s="368" t="s">
        <v>935</v>
      </c>
      <c r="D22" s="347" t="s">
        <v>2688</v>
      </c>
      <c r="E22" s="350" t="s">
        <v>505</v>
      </c>
      <c r="F22" s="197" t="s">
        <v>529</v>
      </c>
      <c r="G22" s="34"/>
    </row>
    <row r="23" spans="1:7" ht="109.5" customHeight="1">
      <c r="A23" s="353"/>
      <c r="B23" s="369"/>
      <c r="C23" s="369"/>
      <c r="D23" s="348"/>
      <c r="E23" s="351"/>
      <c r="F23" s="198" t="s">
        <v>936</v>
      </c>
      <c r="G23" s="34"/>
    </row>
    <row r="24" spans="1:7" ht="74.25" customHeight="1">
      <c r="A24" s="353"/>
      <c r="B24" s="370"/>
      <c r="C24" s="370"/>
      <c r="D24" s="349"/>
      <c r="E24" s="352"/>
      <c r="F24" s="37" t="s">
        <v>504</v>
      </c>
      <c r="G24" s="34"/>
    </row>
    <row r="25" spans="1:7" ht="72" customHeight="1">
      <c r="A25" s="353"/>
      <c r="B25" s="2" t="s">
        <v>527</v>
      </c>
      <c r="C25" s="37" t="s">
        <v>528</v>
      </c>
      <c r="D25" s="39" t="s">
        <v>2689</v>
      </c>
      <c r="E25" s="37" t="s">
        <v>2682</v>
      </c>
      <c r="F25" s="37" t="s">
        <v>530</v>
      </c>
      <c r="G25" s="34"/>
    </row>
    <row r="26" spans="1:7" ht="98.1" customHeight="1">
      <c r="A26" s="353"/>
      <c r="B26" s="365">
        <v>3</v>
      </c>
      <c r="C26" s="359" t="s">
        <v>74</v>
      </c>
      <c r="D26" s="362" t="s">
        <v>2690</v>
      </c>
      <c r="E26" s="350" t="s">
        <v>0</v>
      </c>
      <c r="F26" s="197" t="s">
        <v>68</v>
      </c>
      <c r="G26" s="34"/>
    </row>
    <row r="27" spans="1:7" ht="90" customHeight="1">
      <c r="A27" s="353"/>
      <c r="B27" s="366"/>
      <c r="C27" s="360"/>
      <c r="D27" s="363"/>
      <c r="E27" s="351"/>
      <c r="F27" s="198" t="s">
        <v>63</v>
      </c>
      <c r="G27" s="34"/>
    </row>
    <row r="28" spans="1:7" ht="19.350000000000001" customHeight="1">
      <c r="A28" s="353"/>
      <c r="B28" s="366"/>
      <c r="C28" s="360"/>
      <c r="D28" s="363"/>
      <c r="E28" s="351"/>
      <c r="F28" s="198" t="s">
        <v>64</v>
      </c>
      <c r="G28" s="34"/>
    </row>
    <row r="29" spans="1:7" ht="74.650000000000006" customHeight="1">
      <c r="A29" s="353"/>
      <c r="B29" s="366"/>
      <c r="C29" s="360"/>
      <c r="D29" s="363"/>
      <c r="E29" s="351"/>
      <c r="F29" s="198" t="s">
        <v>65</v>
      </c>
      <c r="G29" s="34"/>
    </row>
    <row r="30" spans="1:7" ht="62.65" customHeight="1">
      <c r="A30" s="353"/>
      <c r="B30" s="366"/>
      <c r="C30" s="360"/>
      <c r="D30" s="363"/>
      <c r="E30" s="351"/>
      <c r="F30" s="198" t="s">
        <v>66</v>
      </c>
      <c r="G30" s="34"/>
    </row>
    <row r="31" spans="1:7" ht="81" customHeight="1">
      <c r="A31" s="353"/>
      <c r="B31" s="366"/>
      <c r="C31" s="360"/>
      <c r="D31" s="363"/>
      <c r="E31" s="351"/>
      <c r="F31" s="198" t="s">
        <v>67</v>
      </c>
      <c r="G31" s="34"/>
    </row>
    <row r="32" spans="1:7" ht="48.75" customHeight="1">
      <c r="A32" s="353"/>
      <c r="B32" s="366"/>
      <c r="C32" s="360"/>
      <c r="D32" s="363"/>
      <c r="E32" s="351"/>
      <c r="F32" s="198" t="s">
        <v>70</v>
      </c>
      <c r="G32" s="34"/>
    </row>
    <row r="33" spans="1:7" ht="98.65" customHeight="1">
      <c r="A33" s="353"/>
      <c r="B33" s="366"/>
      <c r="C33" s="360"/>
      <c r="D33" s="363"/>
      <c r="E33" s="351"/>
      <c r="F33" s="198" t="s">
        <v>69</v>
      </c>
      <c r="G33" s="34"/>
    </row>
    <row r="34" spans="1:7" ht="89.1" customHeight="1">
      <c r="A34" s="353"/>
      <c r="B34" s="366"/>
      <c r="C34" s="360"/>
      <c r="D34" s="363"/>
      <c r="E34" s="351"/>
      <c r="F34" s="198" t="s">
        <v>71</v>
      </c>
      <c r="G34" s="34"/>
    </row>
    <row r="35" spans="1:7" ht="29.1" customHeight="1">
      <c r="A35" s="353"/>
      <c r="B35" s="366"/>
      <c r="C35" s="360"/>
      <c r="D35" s="363"/>
      <c r="E35" s="351"/>
      <c r="F35" s="198" t="s">
        <v>72</v>
      </c>
      <c r="G35" s="34"/>
    </row>
    <row r="36" spans="1:7" ht="126.75">
      <c r="A36" s="353"/>
      <c r="B36" s="367"/>
      <c r="C36" s="361"/>
      <c r="D36" s="364"/>
      <c r="E36" s="352"/>
      <c r="F36" s="199" t="s">
        <v>73</v>
      </c>
      <c r="G36" s="34"/>
    </row>
    <row r="37" spans="1:7" ht="112.5">
      <c r="A37" s="353"/>
      <c r="B37" s="175">
        <v>3.01</v>
      </c>
      <c r="C37" s="176" t="s">
        <v>74</v>
      </c>
      <c r="D37" s="39" t="s">
        <v>2691</v>
      </c>
      <c r="E37" s="200" t="s">
        <v>1458</v>
      </c>
      <c r="F37" s="201" t="s">
        <v>1577</v>
      </c>
      <c r="G37" s="34"/>
    </row>
    <row r="38" spans="1:7" ht="101.25">
      <c r="A38" s="353"/>
      <c r="B38" s="175">
        <v>3.02</v>
      </c>
      <c r="C38" s="176" t="s">
        <v>1492</v>
      </c>
      <c r="D38" s="39" t="s">
        <v>2692</v>
      </c>
      <c r="E38" s="200" t="s">
        <v>1507</v>
      </c>
      <c r="F38" s="201" t="s">
        <v>1578</v>
      </c>
      <c r="G38" s="34"/>
    </row>
    <row r="39" spans="1:7" ht="101.25">
      <c r="A39" s="353"/>
      <c r="B39" s="184">
        <v>4</v>
      </c>
      <c r="C39" s="183" t="s">
        <v>1757</v>
      </c>
      <c r="D39" s="39" t="s">
        <v>2693</v>
      </c>
      <c r="E39" s="37" t="s">
        <v>2625</v>
      </c>
      <c r="F39" s="37" t="s">
        <v>1758</v>
      </c>
      <c r="G39" s="34"/>
    </row>
    <row r="40" spans="1:7" ht="56.25">
      <c r="A40" s="353"/>
      <c r="B40" s="175">
        <v>4.01</v>
      </c>
      <c r="C40" s="183" t="s">
        <v>1757</v>
      </c>
      <c r="D40" s="39" t="s">
        <v>2695</v>
      </c>
      <c r="E40" s="37" t="s">
        <v>2644</v>
      </c>
      <c r="F40" s="37" t="s">
        <v>2649</v>
      </c>
      <c r="G40" s="34"/>
    </row>
    <row r="41" spans="1:7" ht="56.25">
      <c r="A41" s="353"/>
      <c r="B41" s="175" t="s">
        <v>2680</v>
      </c>
      <c r="C41" s="183" t="s">
        <v>1757</v>
      </c>
      <c r="D41" s="39" t="s">
        <v>2694</v>
      </c>
      <c r="E41" s="37" t="s">
        <v>2683</v>
      </c>
      <c r="F41" s="37" t="s">
        <v>2681</v>
      </c>
      <c r="G41" s="34"/>
    </row>
    <row r="42" spans="1:7" ht="56.25">
      <c r="A42" s="353"/>
      <c r="B42" s="175" t="s">
        <v>2732</v>
      </c>
      <c r="C42" s="183" t="s">
        <v>1757</v>
      </c>
      <c r="D42" s="39" t="s">
        <v>2903</v>
      </c>
      <c r="E42" s="37" t="s">
        <v>2682</v>
      </c>
      <c r="F42" s="37" t="s">
        <v>2733</v>
      </c>
      <c r="G42" s="34"/>
    </row>
    <row r="43" spans="1:7" ht="123.75">
      <c r="A43" s="353"/>
      <c r="B43" s="193">
        <v>4.0999999999999996</v>
      </c>
      <c r="C43" s="183" t="s">
        <v>2902</v>
      </c>
      <c r="D43" s="194">
        <v>42867</v>
      </c>
      <c r="E43" s="202" t="s">
        <v>2905</v>
      </c>
      <c r="F43" s="37" t="s">
        <v>2904</v>
      </c>
      <c r="G43" s="34"/>
    </row>
    <row r="44" spans="1:7" ht="78.75">
      <c r="A44" s="353"/>
      <c r="B44" s="193">
        <v>4.2</v>
      </c>
      <c r="C44" s="183" t="s">
        <v>2902</v>
      </c>
      <c r="D44" s="194">
        <v>42704</v>
      </c>
      <c r="E44" s="202" t="s">
        <v>3155</v>
      </c>
      <c r="F44" s="37" t="s">
        <v>3120</v>
      </c>
      <c r="G44" s="34"/>
    </row>
    <row r="45" spans="1:7" ht="157.5">
      <c r="A45" s="353"/>
      <c r="B45" s="241">
        <v>5</v>
      </c>
      <c r="C45" s="183" t="s">
        <v>2902</v>
      </c>
      <c r="D45" s="194">
        <v>42867</v>
      </c>
      <c r="E45" s="202" t="s">
        <v>13730</v>
      </c>
      <c r="F45" s="37" t="s">
        <v>13315</v>
      </c>
      <c r="G45" s="34"/>
    </row>
    <row r="46" spans="1:7" ht="45">
      <c r="A46" s="353"/>
      <c r="B46" s="193">
        <v>5.01</v>
      </c>
      <c r="C46" s="183" t="s">
        <v>2902</v>
      </c>
      <c r="D46" s="194">
        <v>42907</v>
      </c>
      <c r="E46" s="202" t="s">
        <v>13786</v>
      </c>
      <c r="F46" s="37" t="s">
        <v>13315</v>
      </c>
      <c r="G46" s="34"/>
    </row>
    <row r="47" spans="1:7" ht="67.5">
      <c r="A47" s="353"/>
      <c r="B47" s="193">
        <v>5.0999999999999996</v>
      </c>
      <c r="C47" s="183" t="s">
        <v>2902</v>
      </c>
      <c r="D47" s="194">
        <v>43070</v>
      </c>
      <c r="E47" s="202" t="s">
        <v>13985</v>
      </c>
      <c r="F47" s="37" t="s">
        <v>13986</v>
      </c>
      <c r="G47" s="34"/>
    </row>
    <row r="48" spans="1:7" ht="56.25">
      <c r="A48" s="353"/>
      <c r="B48" s="193">
        <v>5.1100000000000003</v>
      </c>
      <c r="C48" s="183" t="s">
        <v>14260</v>
      </c>
      <c r="D48" s="194">
        <v>43217</v>
      </c>
      <c r="E48" s="202" t="s">
        <v>14404</v>
      </c>
      <c r="F48" s="37" t="s">
        <v>14299</v>
      </c>
      <c r="G48" s="34"/>
    </row>
    <row r="49" spans="1:7" ht="56.25">
      <c r="A49" s="353"/>
      <c r="B49" s="193">
        <v>5.12</v>
      </c>
      <c r="C49" s="183" t="s">
        <v>14260</v>
      </c>
      <c r="D49" s="194">
        <v>43581</v>
      </c>
      <c r="E49" s="202" t="s">
        <v>14404</v>
      </c>
      <c r="F49" s="37" t="s">
        <v>15467</v>
      </c>
      <c r="G49" s="34"/>
    </row>
    <row r="50" spans="1:7" ht="13.5" thickBot="1">
      <c r="A50" s="354"/>
      <c r="B50" s="355" t="str">
        <f ca="1">OFFSET(L!$C$1,MATCH("General"&amp;"Cpy",L!$A:$A,0)-1,SL,,)</f>
        <v>© 2019 Responsible Minerals Initiative。保留所有权利。</v>
      </c>
      <c r="C50" s="355"/>
      <c r="D50" s="355"/>
      <c r="E50" s="355"/>
      <c r="F50" s="355"/>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网址：(www.responsiblemineralsinitiative.org) 培训和指导、模板、负责任矿物审验流程合规冶炼厂列表。</v>
      </c>
      <c r="B1" s="118" t="s">
        <v>510</v>
      </c>
    </row>
    <row r="2" spans="1:2" ht="30">
      <c r="A2" s="128" t="str">
        <f ca="1">OFFSET(L!$C$1,MATCH("Instructions"&amp;ADDRESS(ROW(),COLUMN(),4),L!$A:$A,0)-1,SL,,)</f>
        <v>介绍</v>
      </c>
      <c r="B2" s="118" t="s">
        <v>1434</v>
      </c>
    </row>
    <row r="3" spans="1:2" ht="181.5" customHeight="1">
      <c r="A3" s="125"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118" t="s">
        <v>1435</v>
      </c>
    </row>
    <row r="4" spans="1:2" ht="150">
      <c r="A4" s="125"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v>
      </c>
      <c r="B4" s="118" t="s">
        <v>1441</v>
      </c>
    </row>
    <row r="5" spans="1:2" ht="15">
      <c r="A5" s="129"/>
      <c r="B5" s="118"/>
    </row>
    <row r="6" spans="1:2" ht="30">
      <c r="A6" s="128" t="str">
        <f ca="1">OFFSET(L!$C$1,MATCH("Instructions"&amp;ADDRESS(ROW(),COLUMN(),4),L!$A:$A,0)-1,SL,,)</f>
        <v>公司信息的填写说明（第 8 至 22 行）。
请仅以英文作答</v>
      </c>
      <c r="B6" s="118" t="s">
        <v>1434</v>
      </c>
    </row>
    <row r="7" spans="1:2" ht="15">
      <c r="A7" s="125" t="str">
        <f ca="1">OFFSET(L!$C$1,MATCH("Instructions"&amp;ADDRESS(ROW(),COLUMN(),4),L!$A:$A,0)-1,SL,,)</f>
        <v>注：带星号 (*) 的字段为必填。</v>
      </c>
      <c r="B7" s="118"/>
    </row>
    <row r="8" spans="1:2" ht="15">
      <c r="A8" s="125" t="str">
        <f ca="1">OFFSET(L!$C$1,MATCH("Instructions"&amp;ADDRESS(ROW(),COLUMN(),4),L!$A:$A,0)-1,SL,,)</f>
        <v>1. 插入贵公司的法定名称。请勿使用缩写。在此字段中，您可以选择添加其他商业名称、营业名称等。</v>
      </c>
      <c r="B8" s="118"/>
    </row>
    <row r="9" spans="1:2" ht="376.5" customHeight="1">
      <c r="A9" s="179"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v>
      </c>
      <c r="B9" s="118" t="s">
        <v>1433</v>
      </c>
    </row>
    <row r="10" spans="1:2" ht="36" customHeight="1">
      <c r="A10" s="125" t="str">
        <f ca="1">OFFSET(L!$C$1,MATCH("Instructions"&amp;ADDRESS(ROW(),COLUMN(),4),L!$A:$A,0)-1,SL,,)</f>
        <v>3. 插入贵公司的唯一识别序号或编号（DUNS 号码、VAT 号码、客户特定识别码等）</v>
      </c>
      <c r="B10" s="118"/>
    </row>
    <row r="11" spans="1:2" ht="35.25" customHeight="1">
      <c r="A11" s="125" t="str">
        <f ca="1">OFFSET(L!$C$1,MATCH("Instructions"&amp;ADDRESS(ROW(),COLUMN(),4),L!$A:$A,0)-1,SL,,)</f>
        <v>4. 插入唯一识别序号或代码出处（例如“DUNS”、“VAT”、“客户”等）</v>
      </c>
      <c r="B11" s="118"/>
    </row>
    <row r="12" spans="1:2" ht="30">
      <c r="A12" s="125" t="str">
        <f ca="1">OFFSET(L!$C$1,MATCH("Instructions"&amp;ADDRESS(ROW(),COLUMN(),4),L!$A:$A,0)-1,SL,,)</f>
        <v>5. 插入贵公司的完整地址（街道、城市、州、国家或地区、邮政编码）。此为必填字段。</v>
      </c>
      <c r="B12" s="118" t="s">
        <v>1434</v>
      </c>
    </row>
    <row r="13" spans="1:2" ht="33.75" customHeight="1">
      <c r="A13" s="125" t="str">
        <f ca="1">OFFSET(L!$C$1,MATCH("Instructions"&amp;ADDRESS(ROW(),COLUMN(),4),L!$A:$A,0)-1,SL,,)</f>
        <v>6. 插入对此申报信息内容负责的联系人姓名。此为必填字段。</v>
      </c>
      <c r="B13" s="118"/>
    </row>
    <row r="14" spans="1:2" ht="15">
      <c r="A14" s="125" t="str">
        <f ca="1">OFFSET(L!$C$1,MATCH("Instructions"&amp;ADDRESS(ROW(),COLUMN(),4),L!$A:$A,0)-1,SL,,)</f>
        <v>7. 插入联系人的电子邮件地址。如果没有电子邮件地址，请说明“无”或“不适用”。如留空此字段，会导致此表格出错。此为必填字段。</v>
      </c>
      <c r="B14" s="118"/>
    </row>
    <row r="15" spans="1:2" ht="15">
      <c r="A15" s="125" t="str">
        <f ca="1">OFFSET(L!$C$1,MATCH("Instructions"&amp;ADDRESS(ROW(),COLUMN(),4),L!$A:$A,0)-1,SL,,)</f>
        <v>8. 插入联系人的电话号码。此为必填字段。</v>
      </c>
      <c r="B15" s="118"/>
    </row>
    <row r="16" spans="1:2" ht="15">
      <c r="A16" s="125" t="str">
        <f ca="1">OFFSET(L!$C$1,MATCH("Instructions"&amp;ADDRESS(ROW(),COLUMN(),4),L!$A:$A,0)-1,SL,,)</f>
        <v xml:space="preserve">9. 插入负责申报信息内容的人员姓名。授权人可能与联系人不同。请勿填写“相同”或相似信息，而需提供授权人的姓名。此为必填字段。 </v>
      </c>
      <c r="B16" s="118"/>
    </row>
    <row r="17" spans="1:2" ht="15">
      <c r="A17" s="125" t="str">
        <f ca="1">OFFSET(L!$C$1,MATCH("Instructions"&amp;ADDRESS(ROW(),COLUMN(),4),L!$A:$A,0)-1,SL,,)</f>
        <v>10. 输入授权人的职位。 此为选填字段。</v>
      </c>
      <c r="B17" s="118"/>
    </row>
    <row r="18" spans="1:2" ht="15">
      <c r="A18" s="125" t="str">
        <f ca="1">OFFSET(L!$C$1,MATCH("Instructions"&amp;ADDRESS(ROW(),COLUMN(),4),L!$A:$A,0)-1,SL,,)</f>
        <v>11.  输入授权人的电子邮件地址。如果没有电子邮件地址，请声明“无”或“不适用”。如留空此字段，会导致表格出错。此为必填字段。</v>
      </c>
      <c r="B18" s="118"/>
    </row>
    <row r="19" spans="1:2" ht="15">
      <c r="A19" s="125" t="str">
        <f ca="1">OFFSET(L!$C$1,MATCH("Instructions"&amp;ADDRESS(ROW(),COLUMN(),4),L!$A:$A,0)-1,SL,,)</f>
        <v>12. 插入授权人的电话号码。此为必填字段。</v>
      </c>
      <c r="B19" s="118"/>
    </row>
    <row r="20" spans="1:2" ht="33.75" customHeight="1">
      <c r="A20" s="125" t="str">
        <f ca="1">OFFSET(L!$C$1,MATCH("Instructions"&amp;ADDRESS(ROW(),COLUMN(),4),L!$A:$A,0)-1,SL,,)</f>
        <v>13. 请使用“日-月-年”的格式输入申报日期。此为必填字段。</v>
      </c>
      <c r="B20" s="118"/>
    </row>
    <row r="21" spans="1:2" ht="30">
      <c r="A21" s="125" t="str">
        <f ca="1">OFFSET(L!$C$1,MATCH("Instructions"&amp;ADDRESS(ROW(),COLUMN(),4),L!$A:$A,0)-1,SL,,)</f>
        <v>14. 例如，用户应将文件名保存为“公司名-日期.xls”（日期格式为年-月-日）。</v>
      </c>
      <c r="B21" s="118" t="s">
        <v>1434</v>
      </c>
    </row>
    <row r="22" spans="1:2" ht="15">
      <c r="A22" s="129"/>
      <c r="B22" s="118"/>
    </row>
    <row r="23" spans="1:2" ht="30">
      <c r="A23" s="128" t="str">
        <f ca="1">OFFSET(L!$C$1,MATCH("Instructions"&amp;ADDRESS(ROW(),COLUMN(),4),L!$A:$A,0)-1,SL,,)</f>
        <v>七道尽职调查问题的填写指南（第 24 至 65 行）。
请仅以英文作答</v>
      </c>
      <c r="B23" s="118" t="s">
        <v>1434</v>
      </c>
    </row>
    <row r="24" spans="1:2" ht="45">
      <c r="A24" s="125" t="str">
        <f ca="1">OFFSET(L!$C$1,MATCH("Instructions"&amp;ADDRESS(ROW(),COLUMN(),4),L!$A:$A,0)-1,SL,,)</f>
        <v>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18" t="s">
        <v>1437</v>
      </c>
    </row>
    <row r="25" spans="1:2" ht="30">
      <c r="A25" s="125" t="str">
        <f ca="1">OFFSET(L!$C$1,MATCH("Instructions"&amp;ADDRESS(ROW(),COLUMN(),4),L!$A:$A,0)-1,SL,,)</f>
        <v>对于七道必答题，请使用下拉菜单选项，为每种金属提供答复。所有 3TG 都必须完成此部分中的问题。如果给定金属之问题 1 的回答为肯定，则须完成该金属的后续问题，并应完成关于公司总体尽职调查项目的后续尽职调查问题（A 至 I）。</v>
      </c>
      <c r="B25" s="118" t="s">
        <v>1434</v>
      </c>
    </row>
    <row r="26" spans="1:2" ht="276.75" customHeight="1">
      <c r="A26" s="125"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118" t="s">
        <v>1434</v>
      </c>
    </row>
    <row r="27" spans="1:2" ht="30">
      <c r="A27" s="125" t="str">
        <f ca="1">OFFSET(L!$C$1,MATCH("Instructions"&amp;ADDRESS(ROW(),COLUMN(),4),L!$A:$A,0)-1,SL,,)</f>
        <v xml:space="preserve">如果回答为“否”，某些公司需要进一步求证，请在注释栏中详细说明。 </v>
      </c>
      <c r="B27" s="118" t="s">
        <v>1434</v>
      </c>
    </row>
    <row r="28" spans="1:2" ht="247.5" customHeight="1">
      <c r="A28" s="125"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118"/>
    </row>
    <row r="29" spans="1:2" ht="105">
      <c r="A29" s="125"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v>
      </c>
      <c r="B29" s="118" t="s">
        <v>1434</v>
      </c>
    </row>
    <row r="30" spans="1:2" ht="153" customHeight="1">
      <c r="A30" s="125" t="str">
        <f ca="1">OFFSET(L!$C$1,MATCH("Instructions"&amp;ADDRESS(ROW(),COLUMN(),4),L!$A:$A,0)-1,SL,,)</f>
        <v>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0" s="118" t="s">
        <v>1434</v>
      </c>
    </row>
    <row r="31" spans="1:2" ht="165">
      <c r="A31" s="125" t="str">
        <f ca="1">OFFSET(L!$C$1,MATCH("Instructions"&amp;ADDRESS(ROW(),COLUMN(),4),L!$A:$A,0)-1,SL,,)</f>
        <v>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1" s="118" t="s">
        <v>1437</v>
      </c>
    </row>
    <row r="32" spans="1:2" ht="60">
      <c r="A32" s="125" t="str">
        <f ca="1">OFFSET(L!$C$1,MATCH("Instructions"&amp;ADDRESS(ROW(),COLUMN(),4),L!$A:$A,0)-1,SL,,)</f>
        <v>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2" s="118"/>
    </row>
    <row r="33" spans="1:2" ht="30">
      <c r="A33" s="125" t="str">
        <f ca="1">OFFSET(L!$C$1,MATCH("Instructions"&amp;ADDRESS(ROW(),COLUMN(),4),L!$A:$A,0)-1,SL,,)</f>
        <v>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3" s="118" t="s">
        <v>1434</v>
      </c>
    </row>
    <row r="34" spans="1:2" ht="15">
      <c r="A34" s="125" t="str">
        <f ca="1">OFFSET(L!$C$1,MATCH("Instructions"&amp;ADDRESS(ROW(),COLUMN(),4),L!$A:$A,0)-1,SL,,)</f>
        <v>在注释部分提供您的意见，以进一步说明您的回答。</v>
      </c>
      <c r="B34" s="118"/>
    </row>
    <row r="35" spans="1:2" ht="15">
      <c r="A35" s="129"/>
      <c r="B35" s="118"/>
    </row>
    <row r="36" spans="1:2" ht="30">
      <c r="A36" s="128" t="str">
        <f ca="1">OFFSET(L!$C$1,MATCH("Instructions"&amp;ADDRESS(ROW(),COLUMN(),4),L!$A:$A,0)-1,SL,,)</f>
        <v>完成问题 A 至 I 的说明（第 69 至 86 行）。如果问题 1 和 2 就任何金属的回答为“是”，必须回答问题 A 至 I。
请仅以英文作答</v>
      </c>
      <c r="B36" s="118" t="s">
        <v>1434</v>
      </c>
    </row>
    <row r="37" spans="1:2" ht="135">
      <c r="A37" s="125"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v>
      </c>
      <c r="B37" s="118" t="s">
        <v>1436</v>
      </c>
    </row>
    <row r="38" spans="1:2" ht="45">
      <c r="A38" s="125" t="str">
        <f ca="1">OFFSET(L!$C$1,MATCH("Instructions"&amp;ADDRESS(ROW(),COLUMN(),4),L!$A:$A,0)-1,SL,,)</f>
        <v>A. 这是披露公司是否具有冲突矿产采购政策的申报。请以“是”或“否”来回答此问题。须在问题注释字段提供说明。
此问题必须作答。</v>
      </c>
      <c r="B38" s="118"/>
    </row>
    <row r="39" spans="1:2" ht="45">
      <c r="A39" s="125" t="str">
        <f ca="1">OFFSET(L!$C$1,MATCH("Instructions"&amp;ADDRESS(ROW(),COLUMN(),4),L!$A:$A,0)-1,SL,,)</f>
        <v>B. 这是披露公司的冲突矿产采购政策是否可在公司网站上获取的申报。请以“是”或“否”来回答此问题。如果回答“是”，用户应当在问题注释字段指出 URL。
此问题必须作答。</v>
      </c>
      <c r="B39" s="118"/>
    </row>
    <row r="40" spans="1:2" ht="75">
      <c r="A40" s="125" t="str">
        <f ca="1">OFFSET(L!$C$1,MATCH("Instructions"&amp;ADDRESS(ROW(),COLUMN(),4),L!$A:$A,0)-1,SL,,)</f>
        <v>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v>
      </c>
      <c r="B40" s="118" t="s">
        <v>1439</v>
      </c>
    </row>
    <row r="41" spans="1:2" ht="45">
      <c r="A41" s="125" t="str">
        <f ca="1">OFFSET(L!$C$1,MATCH("Instructions"&amp;ADDRESS(ROW(),COLUMN(),4),L!$A:$A,0)-1,SL,,)</f>
        <v>D. 此申报是要确定公司要求直接供应商从经过验证的无冲突矿产的冶炼厂处采购 3TG。请以“是”或“否”来回答此问题。须在问题注释字段提供说明。
此问题必须作答。</v>
      </c>
      <c r="B41" s="118" t="s">
        <v>1437</v>
      </c>
    </row>
    <row r="42" spans="1:2" ht="120">
      <c r="A42" s="125" t="str">
        <f ca="1">OFFSET(L!$C$1,MATCH("Instructions"&amp;ADDRESS(ROW(),COLUMN(),4),L!$A:$A,0)-1,SL,,)</f>
        <v>E. 请答复“是”或“否”，以披露贵公司是否已实施冲突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无冲突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118" t="s">
        <v>1438</v>
      </c>
    </row>
    <row r="43" spans="1:2" ht="120">
      <c r="A43" s="125" t="str">
        <f ca="1">OFFSET(L!$C$1,MATCH("Instructions"&amp;ADDRESS(ROW(),COLUMN(),4),L!$A:$A,0)-1,SL,,)</f>
        <v>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118" t="s">
        <v>1434</v>
      </c>
    </row>
    <row r="44" spans="1:2" ht="120">
      <c r="A44" s="125" t="str">
        <f ca="1">OFFSET(L!$C$1,MATCH("Instructions"&amp;ADDRESS(ROW(),COLUMN(),4),L!$A:$A,0)-1,SL,,)</f>
        <v>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118" t="s">
        <v>1435</v>
      </c>
    </row>
    <row r="45" spans="1:2" ht="30">
      <c r="A45" s="125" t="str">
        <f ca="1">OFFSET(L!$C$1,MATCH("Instructions"&amp;ADDRESS(ROW(),COLUMN(),4),L!$A:$A,0)-1,SL,,)</f>
        <v>I. 此问题是要披露公司是否受 SEC 规则规限。请以“是”或“否”来回答此问题。须在问题注释字段提供说明。此问题必须作答。要了解更多信息，请参见 www.sec.gov。</v>
      </c>
      <c r="B45" s="118" t="s">
        <v>1434</v>
      </c>
    </row>
    <row r="46" spans="1:2" ht="45">
      <c r="A46" s="125" t="str">
        <f ca="1">OFFSET(L!$C$1,MATCH("Instructions"&amp;ADDRESS(ROW(),COLUMN(),4),L!$A:$A,0)-1,SL,,)</f>
        <v>I. 此问题是要披露公司是否受 SEC 规则规限。请以“是”或“否”来回答此问题。须在问题注释字段提供说明。此问题必须作答。要了解更多信息，请参见 www.sec.gov。</v>
      </c>
      <c r="B46" s="118" t="s">
        <v>1437</v>
      </c>
    </row>
    <row r="47" spans="1:2" ht="15">
      <c r="A47" s="129"/>
      <c r="B47" s="118"/>
    </row>
    <row r="48" spans="1:2" ht="30">
      <c r="A48" s="128" t="str">
        <f ca="1">OFFSET(L!$C$1,MATCH("Instructions"&amp;ADDRESS(ROW(),COLUMN(),4),L!$A:$A,0)-1,SL,,)</f>
        <v>注：带星号 (*) 列表示必填字段。</v>
      </c>
      <c r="B48" s="118" t="s">
        <v>1434</v>
      </c>
    </row>
    <row r="49" spans="1:2" ht="30">
      <c r="A49" s="125"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49" s="118"/>
    </row>
    <row r="50" spans="1:2" ht="60">
      <c r="A50" s="125" t="str">
        <f ca="1">OFFSET(L!$C$1,MATCH("Instructions"&amp;ADDRESS(ROW(),COLUMN(),4),L!$A:$A,0)-1,SL,,)</f>
        <v>1. 冶炼厂识别输入列 - 如果您知道冶炼厂识别号码，请在 A 列输入号码（B、C、E、F、G、I 和 J 列将自动填入）。A 列不会自动填入。</v>
      </c>
      <c r="B50" s="118" t="s">
        <v>1433</v>
      </c>
    </row>
    <row r="51" spans="1:2" ht="30">
      <c r="A51" s="125" t="str">
        <f ca="1">OFFSET(L!$C$1,MATCH("Instructions"&amp;ADDRESS(ROW(),COLUMN(),4),L!$A:$A,0)-1,SL,,)</f>
        <v>21. 金属 (*) - 在下拉菜单中，选择正在输入信息的冶炼厂所提炼的金属。 此为必填字段。</v>
      </c>
      <c r="B51" s="118" t="s">
        <v>1434</v>
      </c>
    </row>
    <row r="52" spans="1:2" ht="30">
      <c r="A52" s="125"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2" s="118"/>
    </row>
    <row r="53" spans="1:2" ht="30">
      <c r="A53" s="189" t="str">
        <f ca="1">OFFSET(L!$C$1,MATCH("Instructions"&amp;ADDRESS(ROW(),COLUMN(),4),L!$A:$A,0)-1,SL,,)</f>
        <v>4. 冶炼厂名称 (1) - 如果选择 C 列中的冶炼厂名称，请填写冶炼厂的名称。如果选择 C 列中的“冶炼厂未列出”，此字段将自动填入。此为必填字段。</v>
      </c>
      <c r="B53" s="118" t="s">
        <v>1434</v>
      </c>
    </row>
    <row r="54" spans="1:2" ht="60">
      <c r="A54" s="125"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4" s="118" t="s">
        <v>1433</v>
      </c>
    </row>
    <row r="55" spans="1:2" ht="75">
      <c r="A55" s="125"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5" s="118" t="s">
        <v>1439</v>
      </c>
    </row>
    <row r="56" spans="1:2" ht="60">
      <c r="A56" s="125" t="str">
        <f ca="1">OFFSET(L!$C$1,MATCH("Instructions"&amp;ADDRESS(ROW(),COLUMN(),4),L!$A:$A,0)-1,SL,,)</f>
        <v xml:space="preserve">7. 冶炼厂识别号码 - F 列包括所有的冶炼厂识别号码。 如果在 C 列中使用下拉框选择冶炼厂名称，此字段会自动填入。 </v>
      </c>
      <c r="B56" s="118" t="s">
        <v>1433</v>
      </c>
    </row>
    <row r="57" spans="1:2" ht="60">
      <c r="A57" s="125" t="str">
        <f ca="1">OFFSET(L!$C$1,MATCH("Instructions"&amp;ADDRESS(ROW(),COLUMN(),4),L!$A:$A,0)-1,SL,,)</f>
        <v>8. 冶炼厂所在街道 - 提供冶炼厂所在街道的名称。此为选填字段。</v>
      </c>
      <c r="B57" s="118" t="s">
        <v>1433</v>
      </c>
    </row>
    <row r="58" spans="1:2" ht="60">
      <c r="A58" s="125" t="str">
        <f ca="1">OFFSET(L!$C$1,MATCH("Instructions"&amp;ADDRESS(ROW(),COLUMN(),4),L!$A:$A,0)-1,SL,,)</f>
        <v>9. 冶炼厂所在城市 - 提供冶炼厂所在城市的名称。此为选填字段。</v>
      </c>
      <c r="B58" s="118" t="s">
        <v>1433</v>
      </c>
    </row>
    <row r="59" spans="1:2" ht="30">
      <c r="A59" s="125" t="str">
        <f ca="1">OFFSET(L!$C$1,MATCH("Instructions"&amp;ADDRESS(ROW(),COLUMN(),4),L!$A:$A,0)-1,SL,,)</f>
        <v>10. 冶炼厂地点：州/省（如适用）- 提供冶炼厂所在的州/省。此为选填字段。</v>
      </c>
      <c r="B59" s="118" t="s">
        <v>1434</v>
      </c>
    </row>
    <row r="60" spans="1:2" ht="198.75" customHeight="1">
      <c r="A60" s="125"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0" s="118" t="s">
        <v>1437</v>
      </c>
    </row>
    <row r="61" spans="1:2" ht="45">
      <c r="A61" s="125" t="str">
        <f ca="1">OFFSET(L!$C$1,MATCH("Instructions"&amp;ADDRESS(ROW(),COLUMN(),4),L!$A:$A,0)-1,SL,,)</f>
        <v xml:space="preserve">12. 冶炼厂联系人电子邮件 - 填写被确定为冶炼厂联系人的电子邮件。例如： John.Smith@SmelterXXX.com。填写此字段栏前，请阅读冶炼厂联系人姓名填写指引。 </v>
      </c>
      <c r="B61" s="118" t="s">
        <v>1437</v>
      </c>
    </row>
    <row r="62" spans="1:2" ht="75">
      <c r="A62" s="125"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2" s="118" t="s">
        <v>1433</v>
      </c>
    </row>
    <row r="63" spans="1:2" ht="75">
      <c r="A63" s="125"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3" s="118" t="s">
        <v>1433</v>
      </c>
    </row>
    <row r="64" spans="1:2" ht="75">
      <c r="A64" s="125" t="str">
        <f ca="1">OFFSET(L!$C$1,MATCH("Instructions"&amp;ADDRESS(ROW(),COLUMN(),4),L!$A:$A,0)-1,SL,,)</f>
        <v>15. 表明冶炼厂是否仅从回收料或报废料资源中获取冶炼过程的来料。此为选答问题。本问题允许的回答包括：
- 是
- 否
- 未知</v>
      </c>
      <c r="B64" s="118"/>
    </row>
    <row r="65" spans="1:2" ht="15">
      <c r="A65" s="125" t="str">
        <f ca="1">OFFSET(L!$C$1,MATCH("Instructions"&amp;ADDRESS(ROW(),COLUMN(),4),L!$A:$A,0)-1,SL,,)</f>
        <v>17. 注释 - 无格式限制的文字栏，可输入有关冶炼厂的任何意见。例如：冶炼厂正在被 YYY 公司收购</v>
      </c>
      <c r="B65" s="118"/>
    </row>
    <row r="66" spans="1:2" ht="110.25" customHeight="1">
      <c r="A66" s="125" t="str">
        <f ca="1">OFFSET(L!$C$1,MATCH("Instructions"&amp;ADDRESS(ROW(),COLUMN(),4),L!$A:$A,0)-1,SL,,)</f>
        <v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v>
      </c>
      <c r="B66" s="118"/>
    </row>
    <row r="67" spans="1:2" s="28" customFormat="1" ht="15">
      <c r="A67" s="130"/>
      <c r="B67" s="118"/>
    </row>
    <row r="68" spans="1:2" s="28" customFormat="1" ht="153" customHeight="1">
      <c r="A68" s="128" t="str">
        <f ca="1">OFFSET(L!$C$1,MATCH("Instructions"&amp;ADDRESS(ROW(),COLUMN(),4),L!$A:$A,0)-1,SL,,)</f>
        <v>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v>
      </c>
      <c r="B68" s="118"/>
    </row>
    <row r="69" spans="1:2" s="28" customFormat="1" ht="15">
      <c r="A69" s="130"/>
      <c r="B69" s="118"/>
    </row>
    <row r="70" spans="1:2" ht="45">
      <c r="A70" s="128"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0" s="118" t="s">
        <v>1434</v>
      </c>
    </row>
    <row r="71" spans="1:2" ht="165">
      <c r="A71" s="125"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1" s="118" t="s">
        <v>1440</v>
      </c>
    </row>
    <row r="72" spans="1:2" ht="90">
      <c r="A72" s="125"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2" s="118" t="s">
        <v>1438</v>
      </c>
    </row>
    <row r="73" spans="1:2" ht="75">
      <c r="A73" s="125" t="str">
        <f ca="1">OFFSET(L!$C$1,MATCH("Instructions"&amp;ADDRESS(ROW(),COLUMN(),4),L!$A:$A,0)-1,SL,,)</f>
        <v>通过登入和使用该列表或任何工具，并经过考量，该用户同意上述条款。</v>
      </c>
      <c r="B73" s="118" t="s">
        <v>1439</v>
      </c>
    </row>
    <row r="74" spans="1:2" ht="30">
      <c r="A74" s="125"/>
      <c r="B74" s="118" t="s">
        <v>509</v>
      </c>
    </row>
    <row r="75" spans="1:2" ht="15">
      <c r="A75" s="125" t="str">
        <f ca="1">OFFSET(L!$C$1,MATCH("General"&amp;"Cpy",L!$A:$A,0)-1,SL,,)</f>
        <v>© 2019 Responsible Minerals Initiative。保留所有权利。</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f ca="1">OFFSET(L!$C$1,MATCH("Definitions"&amp;ADDRESS(ROW(),COLUMN(),4),L!$A:$A,0)-1,SL,,)</f>
        <v>0</v>
      </c>
      <c r="C2" s="171">
        <f ca="1">OFFSET(L!$C$1,MATCH("Definitions"&amp;ADDRESS(ROW(),COLUMN(),4),L!$A:$A,0)-1,SL,,)</f>
        <v>0</v>
      </c>
      <c r="D2" s="375"/>
      <c r="E2" s="131"/>
    </row>
    <row r="3" spans="1:5" ht="64.150000000000006" customHeight="1">
      <c r="A3" s="90"/>
      <c r="B3" s="77" t="str">
        <f ca="1">OFFSET(L!$C$1,MATCH("Definitions"&amp;ADDRESS(ROW(),COLUMN(),4),L!$A:$A,0)-1,SL,,)</f>
        <v>3TG 是钽 (Tantalum)、锡 (Tin)、钨 (Tungsten)、金 (Gold) 的缩写</v>
      </c>
      <c r="C3" s="77" t="str">
        <f ca="1">OFFSET(L!$C$1,MATCH("Definitions"&amp;ADDRESS(ROW(),COLUMN(),4),L!$A:$A,0)-1,SL,,)</f>
        <v>钽、锡、钨、金</v>
      </c>
      <c r="D3" s="375"/>
      <c r="E3" s="132" t="s">
        <v>1442</v>
      </c>
    </row>
    <row r="4" spans="1:5" ht="63.75" customHeight="1">
      <c r="A4" s="90"/>
      <c r="B4" s="77">
        <f ca="1">OFFSET(L!$C$1,MATCH("Definitions"&amp;ADDRESS(ROW(),COLUMN(),4),L!$A:$A,0)-1,SL,,)</f>
        <v>0</v>
      </c>
      <c r="C4" s="77" t="str">
        <f ca="1">OFFSET(L!$C$1,MATCH("Definitions"&amp;ADDRESS(ROW(),COLUMN(),4),L!$A:$A,0)-1,SL,,)</f>
        <v xml:space="preserve">此字段定义负责申报内容的人员。授权人可能与联络人不同。请勿填写“相同”或相似信息，需提供授权人的姓名。 </v>
      </c>
      <c r="D4" s="375"/>
      <c r="E4" s="132"/>
    </row>
    <row r="5" spans="1:5" ht="60">
      <c r="A5" s="90"/>
      <c r="B5" s="77" t="str">
        <f ca="1">OFFSET(L!$C$1,MATCH("Definitions"&amp;ADDRESS(ROW(),COLUMN(),4),L!$A:$A,0)-1,SL,,)</f>
        <v xml:space="preserve">冲突矿产 </v>
      </c>
      <c r="C5" s="77"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5" s="375"/>
      <c r="E5" s="132" t="s">
        <v>1443</v>
      </c>
    </row>
    <row r="6" spans="1:5" ht="60">
      <c r="A6" s="90"/>
      <c r="B6" s="77" t="str">
        <f ca="1">OFFSET(L!$C$1,MATCH("Definitions"&amp;ADDRESS(ROW(),COLUMN(),4),L!$A:$A,0)-1,SL,,)</f>
        <v>指明国家或地区</v>
      </c>
      <c r="C6" s="77"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6" s="375"/>
      <c r="E6" s="132" t="s">
        <v>1443</v>
      </c>
    </row>
    <row r="7" spans="1:5" ht="135">
      <c r="A7" s="90"/>
      <c r="B7" s="77" t="str">
        <f ca="1">OFFSET(L!$C$1,MATCH("Definitions"&amp;ADDRESS(ROW(),COLUMN(),4),L!$A:$A,0)-1,SL,,)</f>
        <v xml:space="preserve">申报范围或种类 </v>
      </c>
      <c r="C7" s="77"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7" s="375"/>
      <c r="E7" s="132" t="s">
        <v>1446</v>
      </c>
    </row>
    <row r="8" spans="1:5" ht="60">
      <c r="A8" s="90"/>
      <c r="B8" s="77" t="str">
        <f ca="1">OFFSET(L!$C$1,MATCH("Definitions"&amp;ADDRESS(ROW(),COLUMN(),4),L!$A:$A,0)-1,SL,,)</f>
        <v>多德-弗兰克</v>
      </c>
      <c r="C8" s="77"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8" s="375"/>
      <c r="E8" s="132" t="s">
        <v>1443</v>
      </c>
    </row>
    <row r="9" spans="1:5" ht="45">
      <c r="A9" s="90"/>
      <c r="B9" s="77" t="str">
        <f ca="1">OFFSET(L!$C$1,MATCH("Definitions"&amp;ADDRESS(ROW(),COLUMN(),4),L!$A:$A,0)-1,SL,,)</f>
        <v>刚果民主共和国</v>
      </c>
      <c r="C9" s="77" t="str">
        <f ca="1">OFFSET(L!$C$1,MATCH("Definitions"&amp;ADDRESS(ROW(),COLUMN(),4),L!$A:$A,0)-1,SL,,)</f>
        <v>刚果民主共和国</v>
      </c>
      <c r="D9" s="375"/>
      <c r="E9" s="132" t="s">
        <v>1442</v>
      </c>
    </row>
    <row r="10" spans="1:5" ht="45">
      <c r="A10" s="90"/>
      <c r="B10" s="77" t="str">
        <f ca="1">OFFSET(L!$C$1,MATCH("Definitions"&amp;ADDRESS(ROW(),COLUMN(),4),L!$A:$A,0)-1,SL,,)</f>
        <v>刚果民主共和国无冲突的冲突矿产</v>
      </c>
      <c r="C10" s="77"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0" s="375"/>
      <c r="E10" s="132" t="s">
        <v>1442</v>
      </c>
    </row>
    <row r="11" spans="1:5" ht="45">
      <c r="A11" s="90"/>
      <c r="B11" s="77" t="str">
        <f ca="1">OFFSET(L!$C$1,MATCH("Definitions"&amp;ADDRESS(ROW(),COLUMN(),4),L!$A:$A,0)-1,SL,,)</f>
        <v>金精炼厂（冶炼厂）</v>
      </c>
      <c r="C11" s="77"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1" s="375"/>
      <c r="E11" s="132" t="s">
        <v>1442</v>
      </c>
    </row>
    <row r="12" spans="1:5" ht="107.25" customHeight="1">
      <c r="A12" s="90"/>
      <c r="B12" s="77" t="str">
        <f ca="1">OFFSET(L!$C$1,MATCH("Definitions"&amp;ADDRESS(ROW(),COLUMN(),4),L!$A:$A,0)-1,SL,,)</f>
        <v>独立的第三方审核机构</v>
      </c>
      <c r="C12" s="77"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2" s="375"/>
      <c r="E12" s="132" t="s">
        <v>1444</v>
      </c>
    </row>
    <row r="13" spans="1:5" ht="303.75" customHeight="1">
      <c r="A13" s="90"/>
      <c r="B13" s="77" t="str">
        <f ca="1">OFFSET(L!$C$1,MATCH("Definitions"&amp;ADDRESS(ROW(),COLUMN(),4),L!$A:$A,0)-1,SL,,)</f>
        <v>有意添加</v>
      </c>
      <c r="C13" s="77"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3" s="375"/>
      <c r="E13" s="132" t="s">
        <v>1442</v>
      </c>
    </row>
    <row r="14" spans="1:5" ht="75">
      <c r="A14" s="90"/>
      <c r="B14" s="77" t="str">
        <f ca="1">OFFSET(L!$C$1,MATCH("Definitions"&amp;ADDRESS(ROW(),COLUMN(),4),L!$A:$A,0)-1,SL,,)</f>
        <v>IPC</v>
      </c>
      <c r="C14" s="77"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4" s="375"/>
      <c r="E14" s="132" t="s">
        <v>1442</v>
      </c>
    </row>
    <row r="15" spans="1:5" ht="45">
      <c r="A15" s="90"/>
      <c r="B15" s="77" t="str">
        <f ca="1">OFFSET(L!$C$1,MATCH("Definitions"&amp;ADDRESS(ROW(),COLUMN(),4),L!$A:$A,0)-1,SL,,)</f>
        <v>IPC-1755 冲突矿产数据交换标准</v>
      </c>
      <c r="C15" s="77"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5" s="375"/>
      <c r="E15" s="132" t="s">
        <v>1442</v>
      </c>
    </row>
    <row r="16" spans="1:5" ht="120">
      <c r="A16" s="90"/>
      <c r="B16" s="77" t="str">
        <f ca="1">OFFSET(L!$C$1,MATCH("Definitions"&amp;ADDRESS(ROW(),COLUMN(),4),L!$A:$A,0)-1,SL,,)</f>
        <v>产品功能需要</v>
      </c>
      <c r="C16" s="77"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6" s="375"/>
      <c r="E16" s="132" t="s">
        <v>1442</v>
      </c>
    </row>
    <row r="17" spans="1:5" ht="90">
      <c r="A17" s="90"/>
      <c r="B17" s="77" t="str">
        <f ca="1">OFFSET(L!$C$1,MATCH("Definitions"&amp;ADDRESS(ROW(),COLUMN(),4),L!$A:$A,0)-1,SL,,)</f>
        <v>产品生产需要</v>
      </c>
      <c r="C17" s="77"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7" s="375"/>
      <c r="E17" s="132" t="s">
        <v>1442</v>
      </c>
    </row>
    <row r="18" spans="1:5" ht="45">
      <c r="A18" s="90"/>
      <c r="B18" s="77" t="str">
        <f ca="1">OFFSET(L!$C$1,MATCH("Definitions"&amp;ADDRESS(ROW(),COLUMN(),4),L!$A:$A,0)-1,SL,,)</f>
        <v>经济合作与发展组织（Organization for Economic Co-operation and Development，OECD）</v>
      </c>
      <c r="C18" s="77" t="str">
        <f ca="1">OFFSET(L!$C$1,MATCH("Definitions"&amp;ADDRESS(ROW(),COLUMN(),4),L!$A:$A,0)-1,SL,,)</f>
        <v>经济合作与发展组织</v>
      </c>
      <c r="D18" s="375"/>
      <c r="E18" s="132"/>
    </row>
    <row r="19" spans="1:5" ht="15">
      <c r="A19" s="90"/>
      <c r="B19" s="77" t="str">
        <f ca="1">OFFSET(L!$C$1,MATCH("Definitions"&amp;ADDRESS(ROW(),COLUMN(),4),L!$A:$A,0)-1,SL,,)</f>
        <v>产品</v>
      </c>
      <c r="C19" s="77" t="str">
        <f ca="1">OFFSET(L!$C$1,MATCH("Definitions"&amp;ADDRESS(ROW(),COLUMN(),4),L!$A:$A,0)-1,SL,,)</f>
        <v xml:space="preserve">公司的产品或成品是指在制造生产阶段或最后完成阶段的物料或物品，并且已可以交付或销售给客户。 </v>
      </c>
      <c r="D19" s="375"/>
      <c r="E19" s="132"/>
    </row>
    <row r="20" spans="1:5" ht="30">
      <c r="A20" s="90"/>
      <c r="B20" s="77" t="str">
        <f ca="1">OFFSET(L!$C$1,MATCH("Definitions"&amp;ADDRESS(ROW(),COLUMN(),4),L!$A:$A,0)-1,SL,,)</f>
        <v>责任商业联盟（Responsible Business Alliance，RBA）</v>
      </c>
      <c r="C20" s="77" t="str">
        <f ca="1">OFFSET(L!$C$1,MATCH("Definitions"&amp;ADDRESS(ROW(),COLUMN(),4),L!$A:$A,0)-1,SL,,)</f>
        <v>责任商业联盟 (www.responsiblebusiness.org)</v>
      </c>
      <c r="D20" s="375"/>
      <c r="E20" s="132"/>
    </row>
    <row r="21" spans="1:5" ht="106.5" customHeight="1">
      <c r="A21" s="90"/>
      <c r="B21" s="77" t="str">
        <f ca="1">OFFSET(L!$C$1,MATCH("Definitions"&amp;ADDRESS(ROW(),COLUMN(),4),L!$A:$A,0)-1,SL,,)</f>
        <v>回收或废料源</v>
      </c>
      <c r="C21" s="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1" s="375"/>
      <c r="E21" s="132"/>
    </row>
    <row r="22" spans="1:5" ht="45">
      <c r="A22" s="90"/>
      <c r="B22" s="77" t="str">
        <f ca="1">OFFSET(L!$C$1,MATCH("Definitions"&amp;ADDRESS(ROW(),COLUMN(),4),L!$A:$A,0)-1,SL,,)</f>
        <v>负责任矿物审验流程 (RMAP)</v>
      </c>
      <c r="C22" s="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2" s="375"/>
      <c r="E22" s="132"/>
    </row>
    <row r="23" spans="1:5" ht="168" customHeight="1">
      <c r="A23" s="90"/>
      <c r="B23" s="77" t="str">
        <f ca="1">OFFSET(L!$C$1,MATCH("Definitions"&amp;ADDRESS(ROW(),COLUMN(),4),L!$A:$A,0)-1,SL,,)</f>
        <v>负责任矿物计划</v>
      </c>
      <c r="C23" s="77"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3" s="375"/>
      <c r="E23" s="132"/>
    </row>
    <row r="24" spans="1:5" ht="75">
      <c r="A24" s="90"/>
      <c r="B24" s="77" t="str">
        <f ca="1">OFFSET(L!$C$1,MATCH("Definitions"&amp;ADDRESS(ROW(),COLUMN(),4),L!$A:$A,0)-1,SL,,)</f>
        <v>无冲突冶炼厂计划合规冶炼厂列表</v>
      </c>
      <c r="C24" s="77"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24" s="375"/>
      <c r="E24" s="132" t="s">
        <v>1442</v>
      </c>
    </row>
    <row r="25" spans="1:5" ht="75">
      <c r="A25" s="90"/>
      <c r="B25" s="77" t="str">
        <f ca="1">OFFSET(L!$C$1,MATCH("Definitions"&amp;ADDRESS(ROW(),COLUMN(),4),L!$A:$A,0)-1,SL,,)</f>
        <v>证券交易委员会 (SEC)</v>
      </c>
      <c r="C25" s="77" t="str">
        <f ca="1">OFFSET(L!$C$1,MATCH("Definitions"&amp;ADDRESS(ROW(),COLUMN(),4),L!$A:$A,0)-1,SL,,)</f>
        <v>美国证券交易委员会 (www.sec.gov)</v>
      </c>
      <c r="D25" s="375"/>
      <c r="E25" s="132" t="s">
        <v>1444</v>
      </c>
    </row>
    <row r="26" spans="1:5" ht="45">
      <c r="A26" s="90"/>
      <c r="B26" s="77" t="str">
        <f ca="1">OFFSET(L!$C$1,MATCH("Definitions"&amp;ADDRESS(ROW(),COLUMN(),4),L!$A:$A,0)-1,SL,,)</f>
        <v>冶炼厂</v>
      </c>
      <c r="C26" s="77"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6" s="375"/>
      <c r="E26" s="132" t="s">
        <v>1442</v>
      </c>
    </row>
    <row r="27" spans="1:5" ht="60">
      <c r="A27" s="90"/>
      <c r="B27" s="77" t="str">
        <f ca="1">OFFSET(L!$C$1,MATCH("Definitions"&amp;ADDRESS(ROW(),COLUMN(),4),L!$A:$A,0)-1,SL,,)</f>
        <v>冶炼厂识别序号</v>
      </c>
      <c r="C27" s="77"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7" s="375"/>
      <c r="E27" s="132" t="s">
        <v>1443</v>
      </c>
    </row>
    <row r="28" spans="1:5" ht="108" customHeight="1">
      <c r="A28" s="90"/>
      <c r="B28" s="77" t="str">
        <f ca="1">OFFSET(L!$C$1,MATCH("Definitions"&amp;ADDRESS(ROW(),COLUMN(),4),L!$A:$A,0)-1,SL,,)</f>
        <v>钽 (Ta) 冶炼厂</v>
      </c>
      <c r="C28" s="77"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8" s="375"/>
      <c r="E28" s="132" t="s">
        <v>1444</v>
      </c>
    </row>
    <row r="29" spans="1:5" ht="121.5" customHeight="1">
      <c r="A29" s="90"/>
      <c r="B29" s="77" t="str">
        <f ca="1">OFFSET(L!$C$1,MATCH("Definitions"&amp;ADDRESS(ROW(),COLUMN(),4),L!$A:$A,0)-1,SL,,)</f>
        <v>锡 (Sn) 冶炼厂</v>
      </c>
      <c r="C29" s="77"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v>
      </c>
      <c r="D29" s="375"/>
      <c r="E29" s="132" t="s">
        <v>1445</v>
      </c>
    </row>
    <row r="30" spans="1:5" ht="122.25" customHeight="1">
      <c r="A30" s="90"/>
      <c r="B30" s="77" t="str">
        <f ca="1">OFFSET(L!$C$1,MATCH("Definitions"&amp;ADDRESS(ROW(),COLUMN(),4),L!$A:$A,0)-1,SL,,)</f>
        <v>钨 (W) 冶炼厂</v>
      </c>
      <c r="C30" s="77"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0" s="375"/>
      <c r="E30" s="132"/>
    </row>
    <row r="31" spans="1:5" ht="15">
      <c r="A31" s="90"/>
      <c r="B31" s="374" t="str">
        <f ca="1">OFFSET(L!$C$1,MATCH("General"&amp;"Cpy",L!$A:$A,0)-1,SL,,)</f>
        <v>© 2019 Responsible Minerals Initiative。保留所有权利。</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7" zoomScale="85" zoomScaleNormal="85" zoomScalePageLayoutView="70" workbookViewId="0">
      <selection activeCell="B67" sqref="B67:J6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7"/>
      <c r="B1" s="408"/>
      <c r="C1" s="408"/>
      <c r="D1" s="408"/>
      <c r="E1" s="408"/>
      <c r="F1" s="408"/>
      <c r="G1" s="408"/>
      <c r="H1" s="408"/>
      <c r="I1" s="408"/>
      <c r="J1" s="408"/>
      <c r="K1" s="40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0" t="str">
        <f ca="1">OFFSET(L!$C$1,MATCH("Declaration"&amp;ADDRESS(ROW(),COLUMN(),4),L!$A:$A,0)-1,SL,,)</f>
        <v>Conflict Minerals Reporting Template (CMRT)</v>
      </c>
      <c r="E2" s="411"/>
      <c r="F2" s="411"/>
      <c r="G2" s="411"/>
      <c r="H2" s="411"/>
      <c r="I2" s="411"/>
      <c r="J2" s="41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14698</v>
      </c>
      <c r="E3" s="12"/>
      <c r="F3" s="420"/>
      <c r="G3" s="420"/>
      <c r="H3" s="420"/>
      <c r="I3" s="186"/>
      <c r="J3" s="172" t="s">
        <v>15472</v>
      </c>
      <c r="K3" s="47"/>
      <c r="L3" s="143"/>
      <c r="M3" s="134"/>
      <c r="N3" s="134"/>
      <c r="O3" s="135"/>
      <c r="P3" s="148">
        <f>MATCH($D$3,LN,0)</f>
        <v>2</v>
      </c>
    </row>
    <row r="4" spans="1:34" ht="15.75">
      <c r="A4" s="45"/>
      <c r="B4" s="416" t="str">
        <f ca="1">OFFSET(L!$C$1,MATCH("Declaration"&amp;ADDRESS(ROW(),COLUMN(),4),L!$A:$A,0)-1,SL,,)</f>
        <v>此填写此报告的目的是收集在产品中所用锡、钽、钨、黄金等金属的采购信息。</v>
      </c>
      <c r="C4" s="416"/>
      <c r="D4" s="416"/>
      <c r="E4" s="416"/>
      <c r="F4" s="416"/>
      <c r="G4" s="416"/>
      <c r="H4" s="416"/>
      <c r="I4" s="421">
        <f ca="1">OFFSET(L!$C$1,MATCH("Declaration"&amp;ADDRESS(ROW(),COLUMN(),4),L!$A:$A,0)-1,SL,,)</f>
        <v>0</v>
      </c>
      <c r="J4" s="42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6" t="str">
        <f ca="1">OFFSET(L!$C$1,MATCH("Declaration"&amp;ADDRESS(ROW(),COLUMN(),4),L!$A:$A,0)-1,SL,,)</f>
        <v>必填字段标记为星号 (*)。参考说明选项卡，获取关于如何答复每个问题的指南。</v>
      </c>
      <c r="C6" s="416"/>
      <c r="D6" s="416"/>
      <c r="E6" s="416"/>
      <c r="F6" s="416"/>
      <c r="G6" s="416"/>
      <c r="H6" s="416"/>
      <c r="I6" s="416"/>
      <c r="J6" s="41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5" t="str">
        <f ca="1">OFFSET(L!$C$1,MATCH("Declaration"&amp;ADDRESS(ROW(),COLUMN(),4),L!$A:$A,0)-1,SL,,)</f>
        <v>公司信息</v>
      </c>
      <c r="C7" s="425"/>
      <c r="D7" s="425"/>
      <c r="E7" s="425"/>
      <c r="F7" s="425"/>
      <c r="G7" s="425"/>
      <c r="H7" s="425"/>
      <c r="I7" s="425"/>
      <c r="J7" s="42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公司名称 (*)：</v>
      </c>
      <c r="C8" s="92"/>
      <c r="D8" s="413" t="s">
        <v>15494</v>
      </c>
      <c r="E8" s="414"/>
      <c r="F8" s="414"/>
      <c r="G8" s="414"/>
      <c r="H8" s="414"/>
      <c r="I8" s="414"/>
      <c r="J8" s="415"/>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申报范围或种类 (*)：</v>
      </c>
      <c r="C9" s="92"/>
      <c r="D9" s="422" t="s">
        <v>564</v>
      </c>
      <c r="E9" s="423"/>
      <c r="F9" s="423"/>
      <c r="G9" s="424"/>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5" customHeight="1">
      <c r="A10" s="49"/>
      <c r="B10" s="426" t="str">
        <f ca="1">OFFSET(L!$C$1,MATCH("Declaration"&amp;ADDRESS(ROW(),COLUMN(),4)&amp;LEFT($D$9,1),L!$A:$A,0)-1,SL,,)</f>
        <v>范围描述：</v>
      </c>
      <c r="C10" s="155"/>
      <c r="D10" s="417" t="s">
        <v>15495</v>
      </c>
      <c r="E10" s="418"/>
      <c r="F10" s="418"/>
      <c r="G10" s="418"/>
      <c r="H10" s="418"/>
      <c r="I10" s="418"/>
      <c r="J10" s="41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27"/>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 xml:space="preserve">公司唯一识别信息： </v>
      </c>
      <c r="C12" s="93"/>
      <c r="D12" s="445" t="s">
        <v>15496</v>
      </c>
      <c r="E12" s="446"/>
      <c r="F12" s="446"/>
      <c r="G12" s="446"/>
      <c r="H12" s="446"/>
      <c r="I12" s="446"/>
      <c r="J12" s="447"/>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公司唯一授权识别信息：</v>
      </c>
      <c r="C13" s="93"/>
      <c r="D13" s="445" t="s">
        <v>15496</v>
      </c>
      <c r="E13" s="446"/>
      <c r="F13" s="446"/>
      <c r="G13" s="446"/>
      <c r="H13" s="446"/>
      <c r="I13" s="446"/>
      <c r="J13" s="447"/>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地址：</v>
      </c>
      <c r="C14" s="93"/>
      <c r="D14" s="445" t="s">
        <v>15497</v>
      </c>
      <c r="E14" s="446"/>
      <c r="F14" s="446"/>
      <c r="G14" s="446"/>
      <c r="H14" s="446"/>
      <c r="I14" s="446"/>
      <c r="J14" s="447"/>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联系人姓名 (*)：</v>
      </c>
      <c r="C15" s="93"/>
      <c r="D15" s="401" t="s">
        <v>15498</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电子邮件 - 联系人 (*)：</v>
      </c>
      <c r="C16" s="93"/>
      <c r="D16" s="448" t="s">
        <v>15499</v>
      </c>
      <c r="E16" s="428"/>
      <c r="F16" s="428"/>
      <c r="G16" s="428"/>
      <c r="H16" s="428"/>
      <c r="I16" s="428"/>
      <c r="J16" s="42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电话 - 联系人 (*)：</v>
      </c>
      <c r="C17" s="93"/>
      <c r="D17" s="401" t="s">
        <v>15500</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授权人 (*)：</v>
      </c>
      <c r="C18" s="93"/>
      <c r="D18" s="401" t="s">
        <v>15501</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职务 - 授权人：</v>
      </c>
      <c r="C19" s="93"/>
      <c r="D19" s="401" t="s">
        <v>15502</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电子邮件 - 授权人 (*)：</v>
      </c>
      <c r="C20" s="93"/>
      <c r="D20" s="448" t="s">
        <v>15503</v>
      </c>
      <c r="E20" s="428"/>
      <c r="F20" s="428"/>
      <c r="G20" s="428"/>
      <c r="H20" s="428"/>
      <c r="I20" s="428"/>
      <c r="J20" s="42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电话 - 授权人 (*)：</v>
      </c>
      <c r="C21" s="167"/>
      <c r="D21" s="401" t="s">
        <v>15504</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生效日期 (*)：</v>
      </c>
      <c r="C22" s="94"/>
      <c r="D22" s="430">
        <v>43906</v>
      </c>
      <c r="E22" s="43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2" t="str">
        <f ca="1">OFFSET(L!$C$1,MATCH("Declaration"&amp;ADDRESS(ROW(),COLUMN(),4),L!$A:$A,0)-1,SL,,)</f>
        <v>根据上述申报范围，回答以下 1 至 7 题</v>
      </c>
      <c r="C24" s="432"/>
      <c r="D24" s="432"/>
      <c r="E24" s="432"/>
      <c r="F24" s="432"/>
      <c r="G24" s="432"/>
      <c r="H24" s="432"/>
      <c r="I24" s="432"/>
      <c r="J24" s="43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是否在产品或生产流程中有意添加或使用任何 3TG？(*)</v>
      </c>
      <c r="C25" s="20"/>
      <c r="D25" s="391" t="str">
        <f ca="1">OFFSET(L!$C$1,MATCH("Declaration"&amp;ADDRESS(ROW(),COLUMN(),4),L!$A:$A,0)-1,SL,,)</f>
        <v>回答</v>
      </c>
      <c r="E25" s="391"/>
      <c r="F25" s="21"/>
      <c r="G25" s="55" t="str">
        <f ca="1">OFFSET(L!$C$1,MATCH("Declaration"&amp;ADDRESS(ROW(),COLUMN(),4),L!$A:$A,0)-1,SL,,)</f>
        <v>注释</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钽</v>
      </c>
      <c r="C26" s="46"/>
      <c r="D26" s="377" t="s">
        <v>559</v>
      </c>
      <c r="E26" s="378"/>
      <c r="F26" s="15"/>
      <c r="G26" s="379"/>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锡</v>
      </c>
      <c r="C27" s="46"/>
      <c r="D27" s="377" t="s">
        <v>559</v>
      </c>
      <c r="E27" s="378"/>
      <c r="F27" s="15"/>
      <c r="G27" s="379"/>
      <c r="H27" s="380"/>
      <c r="I27" s="380"/>
      <c r="J27" s="381"/>
      <c r="K27" s="47"/>
      <c r="L27" s="146"/>
      <c r="M27" s="134"/>
      <c r="N27" s="134"/>
      <c r="O27" s="134"/>
      <c r="P27" s="148"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金</v>
      </c>
      <c r="C28" s="46"/>
      <c r="D28" s="377" t="s">
        <v>559</v>
      </c>
      <c r="E28" s="378"/>
      <c r="F28" s="15"/>
      <c r="G28" s="379"/>
      <c r="H28" s="380"/>
      <c r="I28" s="380"/>
      <c r="J28" s="381"/>
      <c r="K28" s="47"/>
      <c r="L28" s="146"/>
      <c r="M28" s="134"/>
      <c r="N28" s="134"/>
      <c r="O28" s="134"/>
      <c r="P28" s="148"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钨</v>
      </c>
      <c r="C29" s="46"/>
      <c r="D29" s="377" t="s">
        <v>559</v>
      </c>
      <c r="E29" s="378"/>
      <c r="F29" s="15"/>
      <c r="G29" s="379"/>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是否有任何 3TG 仍存在于产品中？</v>
      </c>
      <c r="C31" s="13"/>
      <c r="D31" s="397" t="str">
        <f ca="1">D25</f>
        <v>回答</v>
      </c>
      <c r="E31" s="397"/>
      <c r="F31" s="21"/>
      <c r="G31" s="55" t="str">
        <f ca="1">G25</f>
        <v>注释</v>
      </c>
      <c r="H31" s="55"/>
      <c r="I31" s="55"/>
      <c r="J31" s="99"/>
      <c r="K31" s="47"/>
      <c r="L31" s="140" t="s">
        <v>1369</v>
      </c>
      <c r="M31" s="134"/>
      <c r="N31" s="134"/>
      <c r="O31" s="135"/>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钽</v>
      </c>
      <c r="C32" s="13"/>
      <c r="D32" s="395" t="s">
        <v>559</v>
      </c>
      <c r="E32" s="396"/>
      <c r="F32" s="58"/>
      <c r="G32" s="379"/>
      <c r="H32" s="380"/>
      <c r="I32" s="380"/>
      <c r="J32" s="381"/>
      <c r="K32" s="47"/>
      <c r="L32" s="146"/>
      <c r="M32" s="136"/>
      <c r="N32" s="134"/>
      <c r="O32" s="135"/>
      <c r="P32" s="148" t="str">
        <f>IF(D$32="No","","(*)")</f>
        <v/>
      </c>
      <c r="Q32" s="12"/>
      <c r="R32" s="12"/>
      <c r="S32" s="12"/>
      <c r="T32" s="12"/>
      <c r="U32" s="12"/>
      <c r="V32" s="12"/>
      <c r="W32" s="12"/>
      <c r="X32" s="12"/>
      <c r="Y32" s="12"/>
      <c r="Z32" s="12"/>
      <c r="AA32" s="12"/>
      <c r="AB32" s="12"/>
      <c r="AC32" s="12"/>
      <c r="AD32" s="12"/>
      <c r="AE32" s="12"/>
      <c r="AF32" s="12"/>
      <c r="AG32" s="12"/>
      <c r="AH32" s="12"/>
    </row>
    <row r="33" spans="1:34" ht="22.5">
      <c r="A33" s="52"/>
      <c r="B33" s="51" t="str">
        <f ca="1">B27</f>
        <v>锡</v>
      </c>
      <c r="C33" s="13"/>
      <c r="D33" s="377" t="s">
        <v>559</v>
      </c>
      <c r="E33" s="378"/>
      <c r="F33" s="58"/>
      <c r="G33" s="379"/>
      <c r="H33" s="380"/>
      <c r="I33" s="380"/>
      <c r="J33" s="381"/>
      <c r="K33" s="47"/>
      <c r="L33" s="146"/>
      <c r="M33" s="134"/>
      <c r="N33" s="134"/>
      <c r="O33" s="135"/>
      <c r="P33" s="148" t="str">
        <f>IF(D$33="No","","(*)")</f>
        <v/>
      </c>
      <c r="Q33" s="12"/>
      <c r="R33" s="12"/>
      <c r="S33" s="12"/>
      <c r="T33" s="12"/>
      <c r="U33" s="12"/>
      <c r="V33" s="12"/>
      <c r="W33" s="12"/>
      <c r="X33" s="12"/>
      <c r="Y33" s="12"/>
      <c r="Z33" s="12"/>
      <c r="AA33" s="12"/>
      <c r="AB33" s="12"/>
      <c r="AC33" s="12"/>
      <c r="AD33" s="12"/>
      <c r="AE33" s="12"/>
      <c r="AF33" s="12"/>
      <c r="AG33" s="12"/>
      <c r="AH33" s="12"/>
    </row>
    <row r="34" spans="1:34" ht="22.5">
      <c r="A34" s="52"/>
      <c r="B34" s="51" t="str">
        <f ca="1">B28</f>
        <v>金</v>
      </c>
      <c r="C34" s="13"/>
      <c r="D34" s="377" t="s">
        <v>559</v>
      </c>
      <c r="E34" s="378"/>
      <c r="F34" s="58"/>
      <c r="G34" s="379"/>
      <c r="H34" s="380"/>
      <c r="I34" s="380"/>
      <c r="J34" s="381"/>
      <c r="K34" s="47"/>
      <c r="L34" s="146"/>
      <c r="M34" s="134"/>
      <c r="N34" s="134"/>
      <c r="O34" s="135"/>
      <c r="P34" s="148" t="str">
        <f>IF(D$34="No","","(*)")</f>
        <v/>
      </c>
      <c r="Q34" s="12"/>
      <c r="R34" s="12"/>
      <c r="S34" s="12"/>
      <c r="T34" s="12"/>
      <c r="U34" s="12"/>
      <c r="V34" s="12"/>
      <c r="W34" s="12"/>
      <c r="X34" s="12"/>
      <c r="Y34" s="12"/>
      <c r="Z34" s="12"/>
      <c r="AA34" s="12"/>
      <c r="AB34" s="12"/>
      <c r="AC34" s="12"/>
      <c r="AD34" s="12"/>
      <c r="AE34" s="12"/>
      <c r="AF34" s="12"/>
      <c r="AG34" s="12"/>
      <c r="AH34" s="12"/>
    </row>
    <row r="35" spans="1:34" ht="22.5">
      <c r="A35" s="52"/>
      <c r="B35" s="51" t="str">
        <f ca="1">B29</f>
        <v>钨</v>
      </c>
      <c r="C35" s="13"/>
      <c r="D35" s="377" t="s">
        <v>559</v>
      </c>
      <c r="E35" s="378"/>
      <c r="F35" s="58"/>
      <c r="G35" s="379"/>
      <c r="H35" s="380"/>
      <c r="I35" s="380"/>
      <c r="J35" s="381"/>
      <c r="K35" s="47"/>
      <c r="L35" s="146"/>
      <c r="M35" s="134"/>
      <c r="N35" s="134"/>
      <c r="O35" s="135"/>
      <c r="P35" s="148" t="str">
        <f>IF(D$35="No","","(*)")</f>
        <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贵公司供应链中的冶炼厂是否从所指明的国家采购 3TG？（有关术语“SEC”，请参见定义选项卡）</v>
      </c>
      <c r="C37" s="13"/>
      <c r="D37" s="397" t="str">
        <f ca="1">D25</f>
        <v>回答</v>
      </c>
      <c r="E37" s="397"/>
      <c r="F37" s="21"/>
      <c r="G37" s="55" t="str">
        <f ca="1">G25</f>
        <v>注释</v>
      </c>
      <c r="H37" s="400"/>
      <c r="I37" s="400"/>
      <c r="J37" s="400"/>
      <c r="K37" s="47"/>
      <c r="L37" s="140" t="s">
        <v>1369</v>
      </c>
      <c r="M37" s="134"/>
      <c r="N37" s="134"/>
      <c r="O37" s="135"/>
      <c r="P37" s="56">
        <f>COUNTIF(D$26:D$29,"No")+COUNTIF(D$32:D$35,"No")</f>
        <v>8</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钽</v>
      </c>
      <c r="C38" s="13"/>
      <c r="D38" s="377" t="s">
        <v>559</v>
      </c>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锡</v>
      </c>
      <c r="C39" s="13"/>
      <c r="D39" s="377" t="s">
        <v>559</v>
      </c>
      <c r="E39" s="378"/>
      <c r="F39" s="58"/>
      <c r="G39" s="379"/>
      <c r="H39" s="380"/>
      <c r="I39" s="380"/>
      <c r="J39" s="381"/>
      <c r="K39" s="47"/>
      <c r="L39" s="146"/>
      <c r="M39" s="134"/>
      <c r="N39" s="134"/>
      <c r="O39" s="135"/>
      <c r="P39" s="148"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金</v>
      </c>
      <c r="C40" s="13"/>
      <c r="D40" s="377" t="s">
        <v>559</v>
      </c>
      <c r="E40" s="378"/>
      <c r="F40" s="58"/>
      <c r="G40" s="379"/>
      <c r="H40" s="380"/>
      <c r="I40" s="380"/>
      <c r="J40" s="381"/>
      <c r="K40" s="47"/>
      <c r="L40" s="146"/>
      <c r="M40" s="134"/>
      <c r="N40" s="134"/>
      <c r="O40" s="135"/>
      <c r="P40" s="148"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钨</v>
      </c>
      <c r="C41" s="13"/>
      <c r="D41" s="377" t="s">
        <v>559</v>
      </c>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是否 100% 的 3TG（因产品功能或生产而必须使用）来自于回收料或报废料？</v>
      </c>
      <c r="C43" s="13"/>
      <c r="D43" s="397" t="str">
        <f ca="1">D25</f>
        <v>回答</v>
      </c>
      <c r="E43" s="397"/>
      <c r="F43" s="21"/>
      <c r="G43" s="55" t="str">
        <f ca="1">G25</f>
        <v>注释</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钽</v>
      </c>
      <c r="C44" s="13"/>
      <c r="D44" s="377" t="s">
        <v>559</v>
      </c>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锡</v>
      </c>
      <c r="C45" s="13"/>
      <c r="D45" s="377" t="s">
        <v>559</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金</v>
      </c>
      <c r="C46" s="13"/>
      <c r="D46" s="377" t="s">
        <v>559</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钨</v>
      </c>
      <c r="C47" s="13"/>
      <c r="D47" s="377" t="s">
        <v>559</v>
      </c>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2"/>
      <c r="B49" s="165" t="str">
        <f ca="1">OFFSET(L!$C$1,MATCH("Declaration"&amp;ADDRESS(ROW(),COLUMN(),4),L!$A:$A,0)-1,SL,,)&amp;Q$37</f>
        <v>5) 已对贵公司供应链调查提供答复的相关供应商百分比是多少？</v>
      </c>
      <c r="C49" s="13"/>
      <c r="D49" s="397" t="str">
        <f ca="1">D25</f>
        <v>回答</v>
      </c>
      <c r="E49" s="397"/>
      <c r="F49" s="21"/>
      <c r="G49" s="55" t="str">
        <f ca="1">G25</f>
        <v>注释</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钽</v>
      </c>
      <c r="C50" s="46"/>
      <c r="D50" s="398">
        <v>1</v>
      </c>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锡</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金</v>
      </c>
      <c r="C52" s="46"/>
      <c r="D52" s="398">
        <v>1</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钨</v>
      </c>
      <c r="C53" s="46"/>
      <c r="D53" s="398">
        <v>1</v>
      </c>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您是否识别出为贵公司供应链供应 3TG 的所有冶炼厂？</v>
      </c>
      <c r="C55" s="13"/>
      <c r="D55" s="397" t="str">
        <f ca="1">D25</f>
        <v>回答</v>
      </c>
      <c r="E55" s="397"/>
      <c r="F55" s="21"/>
      <c r="G55" s="55" t="str">
        <f ca="1">G25</f>
        <v>注释</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钽</v>
      </c>
      <c r="C56" s="13"/>
      <c r="D56" s="395" t="s">
        <v>558</v>
      </c>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锡</v>
      </c>
      <c r="C57" s="13"/>
      <c r="D57" s="377" t="s">
        <v>558</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金</v>
      </c>
      <c r="C58" s="13"/>
      <c r="D58" s="377" t="s">
        <v>558</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钨</v>
      </c>
      <c r="C59" s="13"/>
      <c r="D59" s="377" t="s">
        <v>558</v>
      </c>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贵公司收到的所有适用冶炼厂信息是否已在此申报中报告？</v>
      </c>
      <c r="C61" s="13"/>
      <c r="D61" s="397" t="str">
        <f ca="1">D25</f>
        <v>回答</v>
      </c>
      <c r="E61" s="397"/>
      <c r="F61" s="21"/>
      <c r="G61" s="55" t="str">
        <f ca="1">G25</f>
        <v>注释</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钽</v>
      </c>
      <c r="C62" s="46"/>
      <c r="D62" s="377" t="s">
        <v>558</v>
      </c>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锡</v>
      </c>
      <c r="C63" s="46"/>
      <c r="D63" s="377" t="s">
        <v>558</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金</v>
      </c>
      <c r="C64" s="46"/>
      <c r="D64" s="377" t="s">
        <v>558</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钨</v>
      </c>
      <c r="C65" s="60"/>
      <c r="D65" s="377" t="s">
        <v>558</v>
      </c>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从公司层面，回答以下问题</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问题</v>
      </c>
      <c r="C68" s="97"/>
      <c r="D68" s="391" t="str">
        <f ca="1">D25</f>
        <v>回答</v>
      </c>
      <c r="E68" s="391"/>
      <c r="F68" s="64"/>
      <c r="G68" s="391" t="str">
        <f ca="1">G25</f>
        <v>注释</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贵公司是否已制定冲突矿产采购政策？</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贵公司的冲突矿产采购政策是否公开发布于贵公司网页上？（备注 - 如果是，请在注释字段中注明 URL。）</v>
      </c>
      <c r="C71" s="68"/>
      <c r="D71" s="377" t="s">
        <v>558</v>
      </c>
      <c r="E71" s="378"/>
      <c r="F71" s="68"/>
      <c r="G71" s="449" t="s">
        <v>15505</v>
      </c>
      <c r="H71" s="405"/>
      <c r="I71" s="405"/>
      <c r="J71" s="406"/>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您是否要求你的直接供应商不使用来自刚果民主共和国的涉及冲突之冲突矿产？</v>
      </c>
      <c r="C73" s="68"/>
      <c r="D73" s="377" t="s">
        <v>558</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 xml:space="preserve">D. 您是否要求您的直接供应商从其尽职调查实践已被被独立第三方审核机构验证过的冶炼厂采购 3TG？ </v>
      </c>
      <c r="C75" s="68"/>
      <c r="D75" s="377" t="s">
        <v>558</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贵公司是否已实施无冲突矿产采购的尽职调查措施？</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贵公司是否开展了相关供应商的冲突矿产调查？</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贵公司是否根据公司期望来审查供应商提交的尽职调查信息？</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贵公司的验证程序是否包括纠正措施管理？</v>
      </c>
      <c r="C83" s="68"/>
      <c r="D83" s="377" t="s">
        <v>558</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贵公司是否需要向 SEC 提交年度冲突矿产披露报告？</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Initiative。保留所有权利。</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5DEB6A41-FA20-449F-878D-AABC1D2E3CC5}"/>
    <hyperlink ref="D20" r:id="rId4" xr:uid="{B03C8224-E597-408F-9553-AC3A3DE5DE42}"/>
    <hyperlink ref="G71" r:id="rId5" xr:uid="{8A990244-14FC-4F33-BDE5-289B0AAE0E7C}"/>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opLeftCell="A4"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首先：</v>
      </c>
      <c r="C2" s="205"/>
      <c r="D2" s="205"/>
      <c r="E2" s="205"/>
      <c r="F2" s="230"/>
      <c r="G2" s="230"/>
      <c r="H2" s="230"/>
      <c r="I2" s="231"/>
      <c r="J2" s="433" t="str">
        <f ca="1">OFFSET(L!$C$1,MATCH("Smelter List"&amp;ADDRESS(ROW(),COLUMN(),4),L!$A:$A,0)-1,SL,,)</f>
        <v>链接到“RMAP 合规冶炼厂列表”</v>
      </c>
      <c r="K2" s="434"/>
      <c r="L2" s="434"/>
      <c r="M2" s="434"/>
      <c r="N2" s="434"/>
      <c r="O2" s="434"/>
      <c r="P2" s="232"/>
      <c r="Q2" s="233"/>
      <c r="R2" s="234"/>
      <c r="S2" s="234"/>
      <c r="T2" s="234"/>
      <c r="U2" s="261"/>
      <c r="V2" s="261"/>
      <c r="W2" s="262"/>
      <c r="X2" s="261"/>
      <c r="Y2" s="261"/>
      <c r="Z2" s="261"/>
      <c r="AH2" s="178" t="s">
        <v>558</v>
      </c>
    </row>
    <row r="3" spans="1:34" s="263" customFormat="1" ht="255.4" customHeight="1">
      <c r="A3" s="204"/>
      <c r="B3" s="435" t="str">
        <f ca="1">OFFSET(L!$C$1,MATCH("Smelter List"&amp;ADDRESS(ROW(),COLUMN(),4),L!$A:$A,0)-1,SL,,)</f>
        <v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435"/>
      <c r="D3" s="435"/>
      <c r="E3" s="435"/>
      <c r="F3" s="264"/>
      <c r="G3" s="436" t="str">
        <f ca="1">OFFSET(L!$C$1,MATCH("General"&amp;"Cpy",L!$A:$A,0)-1,SL,,)</f>
        <v>© 2019 Responsible Minerals Initiative。保留所有权利。</v>
      </c>
      <c r="H3" s="436"/>
      <c r="I3" s="43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47.25">
      <c r="A4" s="255" t="str">
        <f ca="1">OFFSET(L!$C$1,MATCH("Smelter List"&amp;ADDRESS(ROW(),COLUMN(),4),L!$A:$A,0)-1,SL,,)</f>
        <v>冶炼厂识别号码输入列</v>
      </c>
      <c r="B4" s="255" t="str">
        <f ca="1">OFFSET(L!$C$1,MATCH("Smelter List"&amp;ADDRESS(ROW(),COLUMN(),4),L!$A:$A,0)-1,SL,,)</f>
        <v>金属 (*)</v>
      </c>
      <c r="C4" s="255" t="str">
        <f ca="1">OFFSET(L!$C$1,MATCH("Smelter List"&amp;ADDRESS(ROW(),COLUMN(),4),L!$A:$A,0)-1,SL,,)</f>
        <v>冶炼厂查找 (*)</v>
      </c>
      <c r="D4" s="255" t="str">
        <f ca="1">OFFSET(L!$C$1,MATCH("Smelter List"&amp;ADDRESS(ROW(),COLUMN(),4),L!$A:$A,0)-1,SL,,)</f>
        <v>冶炼厂名称 (1)</v>
      </c>
      <c r="E4" s="255" t="str">
        <f ca="1">OFFSET(L!$C$1,MATCH("Smelter List"&amp;ADDRESS(ROW(),COLUMN(),4),L!$A:$A,0)-1,SL,,)</f>
        <v>冶炼厂所在国家或地区 (*)</v>
      </c>
      <c r="F4" s="255" t="str">
        <f ca="1">OFFSET(L!$C$1,MATCH("Smelter List"&amp;ADDRESS(ROW(),COLUMN(),4),L!$A:$A,0)-1,SL,,)</f>
        <v>冶炼厂识别</v>
      </c>
      <c r="G4" s="255" t="str">
        <f ca="1">OFFSET(L!$C$1,MATCH("Smelter List"&amp;ADDRESS(ROW(),COLUMN(),4),L!$A:$A,0)-1,SL,,)</f>
        <v>冶炼厂出处识别号</v>
      </c>
      <c r="H4" s="177" t="str">
        <f ca="1">OFFSET(L!$C$1,MATCH("Smelter List"&amp;ADDRESS(ROW(),COLUMN(),4),L!$A:$A,0)-1,SL,,)</f>
        <v>冶炼厂所在街道</v>
      </c>
      <c r="I4" s="177" t="str">
        <f ca="1">OFFSET(L!$C$1,MATCH("Smelter List"&amp;ADDRESS(ROW(),COLUMN(),4),L!$A:$A,0)-1,SL,,)</f>
        <v>冶炼厂所在城市</v>
      </c>
      <c r="J4" s="177" t="str">
        <f ca="1">OFFSET(L!$C$1,MATCH("Smelter List"&amp;ADDRESS(ROW(),COLUMN(),4),L!$A:$A,0)-1,SL,,)</f>
        <v>冶炼厂地址：州/省</v>
      </c>
      <c r="K4" s="177" t="str">
        <f ca="1">OFFSET(L!$C$1,MATCH("Smelter List"&amp;ADDRESS(ROW(),COLUMN(),4),L!$A:$A,0)-1,SL,,)</f>
        <v>冶炼厂联系人</v>
      </c>
      <c r="L4" s="177" t="str">
        <f ca="1">OFFSET(L!$C$1,MATCH("Smelter List"&amp;ADDRESS(ROW(),COLUMN(),4),L!$A:$A,0)-1,SL,,)</f>
        <v>冶炼厂联系人电子邮件</v>
      </c>
      <c r="M4" s="177" t="str">
        <f ca="1">OFFSET(L!$C$1,MATCH("Smelter List"&amp;ADDRESS(ROW(),COLUMN(),4),L!$A:$A,0)-1,SL,,)</f>
        <v>建议的后续步骤</v>
      </c>
      <c r="N4" s="177" t="str">
        <f ca="1">OFFSET(L!$C$1,MATCH("Smelter List"&amp;ADDRESS(ROW(),COLUMN(),4),L!$A:$A,0)-1,SL,,)</f>
        <v>填写矿井名称，或如果所用矿产来自于回收料和报废料，请填写“回收”或“报废”。</v>
      </c>
      <c r="O4" s="177" t="str">
        <f ca="1">OFFSET(L!$C$1,MATCH("Smelter List"&amp;ADDRESS(ROW(),COLUMN(),4),L!$A:$A,0)-1,SL,,)</f>
        <v>填写矿井所在国家或地区，或如果所用矿产来自于回收料和报废料，请填写“回收”或“报废”。</v>
      </c>
      <c r="P4" s="177" t="str">
        <f ca="1">OFFSET(L!$C$1,MATCH("Smelter List"&amp;ADDRESS(ROW(),COLUMN(),4),L!$A:$A,0)-1,SL,,)</f>
        <v>冶炼厂的被冶炼物料是否 100% 来自于回收料或报废料？</v>
      </c>
      <c r="Q4" s="178" t="str">
        <f ca="1">OFFSET(L!$C$1,MATCH("Smelter List"&amp;ADDRESS(ROW(),COLUMN(),4),L!$A:$A,0)-1,SL,,)</f>
        <v>注释</v>
      </c>
      <c r="R4" s="255" t="s">
        <v>13306</v>
      </c>
      <c r="S4" s="255" t="s">
        <v>13282</v>
      </c>
      <c r="T4" s="255" t="s">
        <v>13283</v>
      </c>
      <c r="U4" s="237"/>
      <c r="V4" s="192"/>
      <c r="W4" s="192" t="s">
        <v>1454</v>
      </c>
      <c r="X4" s="192" t="s">
        <v>1058</v>
      </c>
      <c r="Y4" s="192"/>
      <c r="Z4" s="192"/>
      <c r="AH4" s="178" t="s">
        <v>560</v>
      </c>
    </row>
    <row r="5" spans="1:34" s="271" customFormat="1" ht="19.899999999999999" customHeight="1">
      <c r="A5" s="215"/>
      <c r="B5" s="216" t="str">
        <f>IF(LEN(A5)=0,"",INDEX('Smelter Look-up'!$A:$A,MATCH($A5,'Smelter Look-up'!$E:$E,0)))</f>
        <v/>
      </c>
      <c r="C5" s="220" t="str">
        <f>IF(LEN(A5)=0,"",INDEX('Smelter Look-up'!$C:$C,MATCH($A5,'Smelter Look-up'!$E:$E,0)))</f>
        <v/>
      </c>
      <c r="D5" s="216"/>
      <c r="E5" s="216" t="str">
        <f ca="1">IF(ISERROR($V5),"",OFFSET('Smelter Look-up'!$D$4,$V5-4,0)&amp;"")</f>
        <v/>
      </c>
      <c r="F5" s="216" t="str">
        <f ca="1">IF(ISERROR($V5),"",OFFSET('Smelter Look-up'!$E$4,$V5-4,0))</f>
        <v/>
      </c>
      <c r="G5" s="216" t="str">
        <f ca="1">IF(C5=$X$4,"Enter smelter details", IF(ISERROR($V5),"",OFFSET('Smelter Look-up'!$F$4,$V5-4,0)))</f>
        <v/>
      </c>
      <c r="H5" s="217" t="str">
        <f ca="1">IF(ISERROR($V5),"",OFFSET('Smelter Look-up'!$G$4,$V5-4,0))</f>
        <v/>
      </c>
      <c r="I5" s="218" t="str">
        <f ca="1">IF(ISERROR($V5),"",OFFSET('Smelter Look-up'!$H$4,$V5-4,0))</f>
        <v/>
      </c>
      <c r="J5" s="218" t="str">
        <f ca="1">IF(ISERROR($V5),"",OFFSET('Smelter Look-up'!$I$4,$V5-4,0))</f>
        <v/>
      </c>
      <c r="K5" s="267"/>
      <c r="L5" s="267"/>
      <c r="M5" s="267"/>
      <c r="N5" s="267"/>
      <c r="O5" s="267"/>
      <c r="P5" s="219"/>
      <c r="Q5" s="268"/>
      <c r="R5" s="216" t="str">
        <f ca="1">IF(ISERROR($V5),"",OFFSET('Smelter Look-up'!$C$4,$V5-4,0)&amp;"")</f>
        <v/>
      </c>
      <c r="S5" s="224" t="str">
        <f t="shared" ref="S5:S68" ca="1" si="0">IF(B5="","",IF(ISERROR(MATCH($E5,CL,0)),"Unknown",INDIRECT("'C'!$A$"&amp;MATCH($E5,CL,0)+1)))</f>
        <v/>
      </c>
      <c r="T5" s="224" t="str">
        <f ca="1">IF(B5="","",IF(ISERROR(MATCH($J5,SorP!$B$1:$B$6230,0)),"",INDIRECT("'SorP'!$A$"&amp;MATCH($J5,SorP!$B$1:$B$6230,0))))</f>
        <v/>
      </c>
      <c r="U5" s="239"/>
      <c r="V5" s="269" t="e">
        <f>IF(C5="",NA(),MATCH($B5&amp;$C5,'Smelter Look-up'!$J:$J,0))</f>
        <v>#N/A</v>
      </c>
      <c r="W5" s="270"/>
      <c r="X5" s="270">
        <f t="shared" ref="X5:X68" ca="1" si="1">IF(AND(C5="Smelter not listed",OR(LEN(D5)=0,LEN(E5)=0)),1,0)</f>
        <v>0</v>
      </c>
      <c r="Y5" s="270"/>
      <c r="Z5" s="270"/>
      <c r="AB5" s="272" t="str">
        <f t="shared" ref="AB5:AB68" si="2">B5&amp;C5</f>
        <v/>
      </c>
    </row>
    <row r="6" spans="1:34" s="271" customFormat="1" ht="19.899999999999999" customHeight="1">
      <c r="A6" s="215"/>
      <c r="B6" s="216" t="str">
        <f>IF(LEN(A6)=0,"",INDEX('Smelter Look-up'!$A:$A,MATCH($A6,'Smelter Look-up'!$E:$E,0)))</f>
        <v/>
      </c>
      <c r="C6" s="220" t="str">
        <f>IF(LEN(A6)=0,"",INDEX('Smelter Look-up'!$C:$C,MATCH($A6,'Smelter Look-up'!$E:$E,0)))</f>
        <v/>
      </c>
      <c r="D6" s="216"/>
      <c r="E6" s="216" t="str">
        <f ca="1">IF(ISERROR($V6),"",OFFSET('Smelter Look-up'!$D$4,$V6-4,0)&amp;"")</f>
        <v/>
      </c>
      <c r="F6" s="216" t="str">
        <f ca="1">IF(ISERROR($V6),"",OFFSET('Smelter Look-up'!$E$4,$V6-4,0))</f>
        <v/>
      </c>
      <c r="G6" s="216" t="str">
        <f ca="1">IF(C6=$X$4,"Enter smelter details", IF(ISERROR($V6),"",OFFSET('Smelter Look-up'!$F$4,$V6-4,0)))</f>
        <v/>
      </c>
      <c r="H6" s="217" t="str">
        <f ca="1">IF(ISERROR($V6),"",OFFSET('Smelter Look-up'!$G$4,$V6-4,0))</f>
        <v/>
      </c>
      <c r="I6" s="218" t="str">
        <f ca="1">IF(ISERROR($V6),"",OFFSET('Smelter Look-up'!$H$4,$V6-4,0))</f>
        <v/>
      </c>
      <c r="J6" s="218" t="str">
        <f ca="1">IF(ISERROR($V6),"",OFFSET('Smelter Look-up'!$I$4,$V6-4,0))</f>
        <v/>
      </c>
      <c r="K6" s="267"/>
      <c r="L6" s="267"/>
      <c r="M6" s="267"/>
      <c r="N6" s="267"/>
      <c r="O6" s="267"/>
      <c r="P6" s="219"/>
      <c r="Q6" s="268"/>
      <c r="R6" s="216" t="str">
        <f ca="1">IF(ISERROR($V6),"",OFFSET('Smelter Look-up'!$C$4,$V6-4,0)&amp;"")</f>
        <v/>
      </c>
      <c r="S6" s="224" t="str">
        <f t="shared" ca="1" si="0"/>
        <v/>
      </c>
      <c r="T6" s="224" t="str">
        <f ca="1">IF(B6="","",IF(ISERROR(MATCH($J6,SorP!$B$1:$B$6230,0)),"",INDIRECT("'SorP'!$A$"&amp;MATCH($J6,SorP!$B$1:$B$6230,0))))</f>
        <v/>
      </c>
      <c r="U6" s="239"/>
      <c r="V6" s="269" t="e">
        <f>IF(C6="",NA(),MATCH($B6&amp;$C6,'Smelter Look-up'!$J:$J,0))</f>
        <v>#N/A</v>
      </c>
      <c r="W6" s="270"/>
      <c r="X6" s="270">
        <f t="shared" ca="1" si="1"/>
        <v>0</v>
      </c>
      <c r="Y6" s="270"/>
      <c r="Z6" s="270"/>
      <c r="AB6" s="272" t="str">
        <f t="shared" si="2"/>
        <v/>
      </c>
    </row>
    <row r="7" spans="1:34" s="271" customFormat="1" ht="19.899999999999999"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19.899999999999999"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19.899999999999999"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19.899999999999999"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19.899999999999999"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25.5">
      <c r="A1" s="438" t="str">
        <f ca="1">OFFSET(L!$C$1,MATCH("Checker"&amp;ADDRESS(ROW(),COLUMN(),4),L!$A:$A,0)-1,SL,,)</f>
        <v>将报告提交给客户以检查表格高亮显示为红色的任何行之前， 请确保已填妥所有必填字段。</v>
      </c>
      <c r="B1" s="438"/>
      <c r="C1" s="438"/>
      <c r="D1" s="150" t="str">
        <f ca="1">OFFSET(L!$C$1,MATCH("Checker"&amp;ADDRESS(ROW(),COLUMN(),4),L!$A:$A,0)-1,SL,,)</f>
        <v>待完成的必填字段</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必填字段</v>
      </c>
      <c r="B3" s="82" t="str">
        <f ca="1">OFFSET(L!$C$1,MATCH("Checker"&amp;ADDRESS(ROW(),COLUMN(),4),L!$A:$A,0)-1,SL,,)</f>
        <v>已提供的答案</v>
      </c>
      <c r="C3" s="82" t="str">
        <f ca="1">OFFSET(L!$C$1,MATCH("Checker"&amp;ADDRESS(ROW(),COLUMN(),4),L!$A:$A,0)-1,SL,,)</f>
        <v>备注</v>
      </c>
      <c r="D3" s="82" t="str">
        <f ca="1">OFFSET(L!$C$1,MATCH("Checker"&amp;ADDRESS(ROW(),COLUMN(),4),L!$A:$A,0)-1,SL,,)</f>
        <v>信息源超链接</v>
      </c>
      <c r="F3" s="83" t="s">
        <v>598</v>
      </c>
      <c r="G3" s="22" t="s">
        <v>597</v>
      </c>
      <c r="H3" s="22" t="s">
        <v>599</v>
      </c>
      <c r="I3" s="180" t="s">
        <v>1447</v>
      </c>
      <c r="J3" s="22" t="s">
        <v>1448</v>
      </c>
    </row>
    <row r="4" spans="1:10" ht="39">
      <c r="A4" s="106" t="str">
        <f ca="1">Declaration!B8</f>
        <v>公司名称 (*)：</v>
      </c>
      <c r="B4" s="105" t="str">
        <f>Declaration!D8</f>
        <v>Shenzhen Amorphous technology co.,ltd</v>
      </c>
      <c r="C4" s="105" t="str">
        <f t="shared" ref="C4:C9" ca="1" si="0">IF(H4=1,J4,I4)</f>
        <v>填写</v>
      </c>
      <c r="D4" s="111" t="str">
        <f>IF(H4=1,"Click here to enter Company Name","")</f>
        <v/>
      </c>
      <c r="E4" s="87" t="s">
        <v>1437</v>
      </c>
      <c r="F4" s="109">
        <v>1</v>
      </c>
      <c r="G4" s="84">
        <f t="shared" ref="G4:G9" si="1">IF(B4=0,1,0)</f>
        <v>0</v>
      </c>
      <c r="H4" s="85">
        <f>F4*G4</f>
        <v>0</v>
      </c>
      <c r="I4" s="181" t="str">
        <f ca="1">OFFSET(L!$C$1,MATCH("Checker"&amp;"Comp",L!$A:$A,0)-1,SL,,)</f>
        <v>填写</v>
      </c>
      <c r="J4" s="182" t="str">
        <f ca="1">OFFSET(L!$C$1,MATCH("Checker"&amp;ADDRESS(ROW(),COLUMN(),4),L!$A:$A,0)-1,SL,,)</f>
        <v>在“申报”选项卡 D8 单元格中，提供贵公司的名称</v>
      </c>
    </row>
    <row r="5" spans="1:10" ht="39">
      <c r="A5" s="106" t="str">
        <f ca="1">Declaration!B9</f>
        <v>申报范围或种类 (*)：</v>
      </c>
      <c r="B5" s="105" t="str">
        <f>Declaration!D9</f>
        <v>A. Company</v>
      </c>
      <c r="C5" s="105" t="str">
        <f t="shared" ca="1" si="0"/>
        <v>填写</v>
      </c>
      <c r="D5" s="111" t="str">
        <f>IF(H5=1,"Click here to enter Declaration Scope","")</f>
        <v/>
      </c>
      <c r="E5" s="87" t="s">
        <v>1437</v>
      </c>
      <c r="F5" s="109">
        <v>1</v>
      </c>
      <c r="G5" s="84">
        <f t="shared" si="1"/>
        <v>0</v>
      </c>
      <c r="H5" s="85">
        <f t="shared" ref="H5:H23" si="2">F5*G5</f>
        <v>0</v>
      </c>
      <c r="I5" s="181" t="str">
        <f ca="1">OFFSET(L!$C$1,MATCH("Checker"&amp;"Comp",L!$A:$A,0)-1,SL,,)</f>
        <v>填写</v>
      </c>
      <c r="J5" s="182" t="str">
        <f ca="1">OFFSET(L!$C$1,MATCH("Checker"&amp;ADDRESS(ROW(),COLUMN(),4),L!$A:$A,0)-1,SL,,)</f>
        <v>在“申报”选项卡 D9 单元格中，选择申报范围</v>
      </c>
    </row>
    <row r="6" spans="1:10" ht="39">
      <c r="A6" s="106" t="str">
        <f ca="1">Declaration!B10</f>
        <v>范围描述：</v>
      </c>
      <c r="B6" s="105" t="str">
        <f>Declaration!D10</f>
        <v>Amorphous core/transformer/choke</v>
      </c>
      <c r="C6" s="105" t="str">
        <f t="shared" ca="1" si="0"/>
        <v>填写</v>
      </c>
      <c r="D6" s="111" t="str">
        <f>IF(H6=1,"Click here to provide a Description of Scope","")</f>
        <v/>
      </c>
      <c r="E6" s="87" t="s">
        <v>1437</v>
      </c>
      <c r="F6" s="110">
        <f>IF(OR(B5=Declaration!P9,B5=Declaration!Q9,B5=0),0,1)</f>
        <v>0</v>
      </c>
      <c r="G6" s="84">
        <f t="shared" si="1"/>
        <v>0</v>
      </c>
      <c r="H6" s="85">
        <f t="shared" si="2"/>
        <v>0</v>
      </c>
      <c r="I6" s="181" t="str">
        <f ca="1">OFFSET(L!$C$1,MATCH("Checker"&amp;"Comp",L!$A:$A,0)-1,SL,,)</f>
        <v>填写</v>
      </c>
      <c r="J6" s="22" t="str">
        <f ca="1">OFFSET(L!$C$1,MATCH("Checker"&amp;ADDRESS(ROW(),COLUMN(),4),L!$A:$A,0)-1,SL,,)</f>
        <v>在“申报”选项卡 D10 单元格中，提供范围说明</v>
      </c>
    </row>
    <row r="7" spans="1:10" ht="39">
      <c r="A7" s="106" t="str">
        <f ca="1">Declaration!B15</f>
        <v>联系人姓名 (*)：</v>
      </c>
      <c r="B7" s="105" t="str">
        <f>Declaration!D15</f>
        <v>mina</v>
      </c>
      <c r="C7" s="105" t="str">
        <f t="shared" ca="1" si="0"/>
        <v>填写</v>
      </c>
      <c r="D7" s="111" t="str">
        <f>IF(H7=1,"Click here to enter Contact Name","")</f>
        <v/>
      </c>
      <c r="E7" s="87" t="s">
        <v>1437</v>
      </c>
      <c r="F7" s="153">
        <v>1</v>
      </c>
      <c r="G7" s="84">
        <f t="shared" si="1"/>
        <v>0</v>
      </c>
      <c r="H7" s="85">
        <f t="shared" si="2"/>
        <v>0</v>
      </c>
      <c r="I7" s="181" t="str">
        <f ca="1">OFFSET(L!$C$1,MATCH("Checker"&amp;"Comp",L!$A:$A,0)-1,SL,,)</f>
        <v>填写</v>
      </c>
      <c r="J7" s="22" t="str">
        <f ca="1">OFFSET(L!$C$1,MATCH("Checker"&amp;ADDRESS(ROW(),COLUMN(),4),L!$A:$A,0)-1,SL,,)</f>
        <v>在“申报”选项卡 D15 单元格中，提供联系人姓名</v>
      </c>
    </row>
    <row r="8" spans="1:10" ht="39">
      <c r="A8" s="106" t="str">
        <f ca="1">Declaration!B16</f>
        <v>电子邮件 - 联系人 (*)：</v>
      </c>
      <c r="B8" s="105" t="str">
        <f>Declaration!D16</f>
        <v>nishu_sat@163.com</v>
      </c>
      <c r="C8" s="105" t="str">
        <f t="shared" ca="1" si="0"/>
        <v>填写</v>
      </c>
      <c r="D8" s="111" t="str">
        <f>IF(H8=1,"Click here to enter Email-Contact","")</f>
        <v/>
      </c>
      <c r="E8" s="87" t="s">
        <v>1437</v>
      </c>
      <c r="F8" s="153">
        <v>1</v>
      </c>
      <c r="G8" s="84">
        <f>IF(ISNUMBER(SEARCH("@",B8)),0,1)</f>
        <v>0</v>
      </c>
      <c r="H8" s="85">
        <f t="shared" si="2"/>
        <v>0</v>
      </c>
      <c r="I8" s="181" t="str">
        <f ca="1">OFFSET(L!$C$1,MATCH("Checker"&amp;"Comp",L!$A:$A,0)-1,SL,,)</f>
        <v>填写</v>
      </c>
      <c r="J8" s="22" t="str">
        <f ca="1">OFFSET(L!$C$1,MATCH("Checker"&amp;ADDRESS(ROW(),COLUMN(),4),L!$A:$A,0)-1,SL,,)</f>
        <v>在“申报”选项卡 D16 单元格中，提供联系人的有效电子邮件</v>
      </c>
    </row>
    <row r="9" spans="1:10" ht="39">
      <c r="A9" s="106" t="str">
        <f ca="1">Declaration!B17</f>
        <v>电话 - 联系人 (*)：</v>
      </c>
      <c r="B9" s="105" t="str">
        <f>Declaration!D17</f>
        <v>+86 15217748213</v>
      </c>
      <c r="C9" s="105" t="str">
        <f t="shared" ca="1" si="0"/>
        <v>填写</v>
      </c>
      <c r="D9" s="111" t="str">
        <f>IF(H9=1,"Click here to enter Phone-Contact","")</f>
        <v/>
      </c>
      <c r="E9" s="87" t="s">
        <v>1437</v>
      </c>
      <c r="F9" s="153">
        <v>1</v>
      </c>
      <c r="G9" s="84">
        <f t="shared" si="1"/>
        <v>0</v>
      </c>
      <c r="H9" s="85">
        <f t="shared" si="2"/>
        <v>0</v>
      </c>
      <c r="I9" s="181" t="str">
        <f ca="1">OFFSET(L!$C$1,MATCH("Checker"&amp;"Comp",L!$A:$A,0)-1,SL,,)</f>
        <v>填写</v>
      </c>
      <c r="J9" s="22" t="str">
        <f ca="1">OFFSET(L!$C$1,MATCH("Checker"&amp;ADDRESS(ROW(),COLUMN(),4),L!$A:$A,0)-1,SL,,)</f>
        <v>在“申报”选项卡 D17 单元格中，提供联系人的电话号码</v>
      </c>
    </row>
    <row r="10" spans="1:10" ht="39">
      <c r="A10" s="106" t="str">
        <f ca="1">Declaration!B18</f>
        <v>授权人 (*)：</v>
      </c>
      <c r="B10" s="105" t="str">
        <f>Declaration!D18</f>
        <v>David</v>
      </c>
      <c r="C10" s="105" t="str">
        <f t="shared" ref="C10:C61" ca="1" si="3">IF(H10=1,J10,I10)</f>
        <v>填写</v>
      </c>
      <c r="D10" s="111" t="str">
        <f>IF(H10=1,"Click here to enter an Authorized Company Representative's name","")</f>
        <v/>
      </c>
      <c r="E10" s="87" t="s">
        <v>1437</v>
      </c>
      <c r="F10" s="109">
        <v>1</v>
      </c>
      <c r="G10" s="84">
        <f t="shared" ref="G10:G23" si="4">IF(B10=0,1,0)</f>
        <v>0</v>
      </c>
      <c r="H10" s="85">
        <f t="shared" si="2"/>
        <v>0</v>
      </c>
      <c r="I10" s="181" t="str">
        <f ca="1">OFFSET(L!$C$1,MATCH("Checker"&amp;"Comp",L!$A:$A,0)-1,SL,,)</f>
        <v>填写</v>
      </c>
      <c r="J10" s="22" t="str">
        <f ca="1">OFFSET(L!$C$1,MATCH("Checker"&amp;ADDRESS(ROW(),COLUMN(),4),L!$A:$A,0)-1,SL,,)</f>
        <v>在“申报”选项卡 D18 单元格中，提供授权公司代表联系人姓名</v>
      </c>
    </row>
    <row r="11" spans="1:10" ht="39">
      <c r="A11" s="106" t="str">
        <f ca="1">Declaration!B20</f>
        <v>电子邮件 - 授权人 (*)：</v>
      </c>
      <c r="B11" s="105" t="str">
        <f>Declaration!D20</f>
        <v>max22fire@163.com</v>
      </c>
      <c r="C11" s="105" t="str">
        <f t="shared" ca="1" si="3"/>
        <v>填写</v>
      </c>
      <c r="D11" s="111" t="str">
        <f>IF(H11=1,"Click here to enter Representative's email","")</f>
        <v/>
      </c>
      <c r="E11" s="87" t="s">
        <v>1437</v>
      </c>
      <c r="F11" s="109">
        <v>1</v>
      </c>
      <c r="G11" s="84">
        <f>IF(ISNUMBER(SEARCH("@",B11)),0,1)</f>
        <v>0</v>
      </c>
      <c r="H11" s="85">
        <f t="shared" si="2"/>
        <v>0</v>
      </c>
      <c r="I11" s="181" t="str">
        <f ca="1">OFFSET(L!$C$1,MATCH("Checker"&amp;"Comp",L!$A:$A,0)-1,SL,,)</f>
        <v>填写</v>
      </c>
      <c r="J11" s="22" t="str">
        <f ca="1">OFFSET(L!$C$1,MATCH("Checker"&amp;ADDRESS(ROW(),COLUMN(),4),L!$A:$A,0)-1,SL,,)</f>
        <v>在“申报”选项卡 D20 单元格中，提供授权公司代表的有效电子邮件</v>
      </c>
    </row>
    <row r="12" spans="1:10" ht="39">
      <c r="A12" s="106" t="str">
        <f ca="1">Declaration!B21</f>
        <v>电话 - 授权人 (*)：</v>
      </c>
      <c r="B12" s="105" t="str">
        <f>Declaration!D21</f>
        <v>+86 15986617467</v>
      </c>
      <c r="C12" s="105" t="str">
        <f ca="1">IF(H12=1,J12,I12)</f>
        <v>填写</v>
      </c>
      <c r="D12" s="111" t="str">
        <f>IF(H12=1,"Click here to enter Representative's phone","")</f>
        <v/>
      </c>
      <c r="E12" s="87" t="s">
        <v>1437</v>
      </c>
      <c r="F12" s="109">
        <v>1</v>
      </c>
      <c r="G12" s="84">
        <f>IF(B12=0,1,0)</f>
        <v>0</v>
      </c>
      <c r="H12" s="85">
        <f>F12*G12</f>
        <v>0</v>
      </c>
      <c r="I12" s="181" t="str">
        <f ca="1">OFFSET(L!$C$1,MATCH("Checker"&amp;"Comp",L!$A:$A,0)-1,SL,,)</f>
        <v>填写</v>
      </c>
      <c r="J12" s="22" t="str">
        <f ca="1">OFFSET(L!$C$1,MATCH("Checker"&amp;ADDRESS(ROW(),COLUMN(),4),L!$A:$A,0)-1,SL,,)</f>
        <v>在“申报”选项卡 D21 单元格中，提供授权公司代表的电话号码</v>
      </c>
    </row>
    <row r="13" spans="1:10" ht="39">
      <c r="A13" s="106" t="str">
        <f ca="1">Declaration!B22</f>
        <v>生效日期 (*)：</v>
      </c>
      <c r="B13" s="107">
        <f>Declaration!D22</f>
        <v>43906</v>
      </c>
      <c r="C13" s="105" t="str">
        <f t="shared" ca="1" si="3"/>
        <v>填写</v>
      </c>
      <c r="D13" s="111" t="str">
        <f>IF(H13=1,"Click here to enter Date of Completion","")</f>
        <v/>
      </c>
      <c r="E13" s="87" t="s">
        <v>1437</v>
      </c>
      <c r="F13" s="109">
        <v>1</v>
      </c>
      <c r="G13" s="84">
        <f t="shared" si="4"/>
        <v>0</v>
      </c>
      <c r="H13" s="85">
        <f t="shared" si="2"/>
        <v>0</v>
      </c>
      <c r="I13" s="181" t="str">
        <f ca="1">OFFSET(L!$C$1,MATCH("Checker"&amp;"Comp",L!$A:$A,0)-1,SL,,)</f>
        <v>填写</v>
      </c>
      <c r="J13" s="22" t="str">
        <f ca="1">OFFSET(L!$C$1,MATCH("Checker"&amp;ADDRESS(ROW(),COLUMN(),4),L!$A:$A,0)-1,SL,,)</f>
        <v>在“申报”选项卡 D22 单元格中，提供表格填写日期</v>
      </c>
    </row>
    <row r="14" spans="1:10" ht="63.75">
      <c r="A14" s="105" t="str">
        <f ca="1">Declaration!B25</f>
        <v>1) 是否在产品或生产流程中有意添加或使用任何 3TG？(*)</v>
      </c>
      <c r="B14" s="108"/>
      <c r="C14" s="108"/>
      <c r="D14" s="112"/>
      <c r="E14" s="87" t="s">
        <v>921</v>
      </c>
      <c r="F14" s="109"/>
      <c r="G14" s="24"/>
      <c r="H14" s="86">
        <f t="shared" si="2"/>
        <v>0</v>
      </c>
    </row>
    <row r="15" spans="1:10" ht="26.25">
      <c r="A15" s="106" t="str">
        <f ca="1">Declaration!B26</f>
        <v>钽</v>
      </c>
      <c r="B15" s="105" t="str">
        <f>Declaration!D26</f>
        <v>No</v>
      </c>
      <c r="C15" s="105" t="str">
        <f t="shared" ca="1" si="3"/>
        <v>填写</v>
      </c>
      <c r="D15" s="111" t="str">
        <f>IF(H15=1,"Click here to answer question 1 for Tantalum","")</f>
        <v/>
      </c>
      <c r="E15" s="87" t="s">
        <v>917</v>
      </c>
      <c r="F15" s="109">
        <v>1</v>
      </c>
      <c r="G15" s="84">
        <f t="shared" si="4"/>
        <v>0</v>
      </c>
      <c r="H15" s="85">
        <f t="shared" si="2"/>
        <v>0</v>
      </c>
      <c r="I15" s="181" t="str">
        <f ca="1">OFFSET(L!$C$1,MATCH("Checker"&amp;"Comp",L!$A:$A,0)-1,SL,,)</f>
        <v>填写</v>
      </c>
      <c r="J15" s="182" t="str">
        <f ca="1">OFFSET(L!$C$1,MATCH("Checker"&amp;ADDRESS(ROW(),COLUMN(),4),L!$A:$A,0)-1,SL,,)</f>
        <v>在“申报”选项卡 D26 单元格中，申报是否有意将钽添加至贵公司的产品中</v>
      </c>
    </row>
    <row r="16" spans="1:10" ht="39">
      <c r="A16" s="106" t="str">
        <f ca="1">Declaration!B27</f>
        <v>锡</v>
      </c>
      <c r="B16" s="105" t="str">
        <f>Declaration!D27</f>
        <v>No</v>
      </c>
      <c r="C16" s="105" t="str">
        <f t="shared" ca="1" si="3"/>
        <v>填写</v>
      </c>
      <c r="D16" s="111" t="str">
        <f>IF(H16=1,"Click here to answer question 1 for Tin","")</f>
        <v/>
      </c>
      <c r="E16" s="87" t="s">
        <v>918</v>
      </c>
      <c r="F16" s="109">
        <v>1</v>
      </c>
      <c r="G16" s="84">
        <f t="shared" si="4"/>
        <v>0</v>
      </c>
      <c r="H16" s="85">
        <f t="shared" si="2"/>
        <v>0</v>
      </c>
      <c r="I16" s="181" t="str">
        <f ca="1">OFFSET(L!$C$1,MATCH("Checker"&amp;"Comp",L!$A:$A,0)-1,SL,,)</f>
        <v>填写</v>
      </c>
      <c r="J16" s="182" t="str">
        <f ca="1">OFFSET(L!$C$1,MATCH("Checker"&amp;ADDRESS(ROW(),COLUMN(),4),L!$A:$A,0)-1,SL,,)</f>
        <v>在“申报”选项卡 D27 单元格中，申报是否有意将锡添加至贵公司的产品中</v>
      </c>
    </row>
    <row r="17" spans="1:10" ht="39">
      <c r="A17" s="106" t="str">
        <f ca="1">Declaration!B28</f>
        <v>金</v>
      </c>
      <c r="B17" s="105" t="str">
        <f>Declaration!D28</f>
        <v>No</v>
      </c>
      <c r="C17" s="105" t="str">
        <f t="shared" ca="1" si="3"/>
        <v>填写</v>
      </c>
      <c r="D17" s="111" t="str">
        <f>IF(H17=1,"Click here to answer question 1 for Gold","")</f>
        <v/>
      </c>
      <c r="E17" s="87" t="s">
        <v>918</v>
      </c>
      <c r="F17" s="109">
        <v>1</v>
      </c>
      <c r="G17" s="84">
        <f t="shared" si="4"/>
        <v>0</v>
      </c>
      <c r="H17" s="85">
        <f t="shared" si="2"/>
        <v>0</v>
      </c>
      <c r="I17" s="181" t="str">
        <f ca="1">OFFSET(L!$C$1,MATCH("Checker"&amp;"Comp",L!$A:$A,0)-1,SL,,)</f>
        <v>填写</v>
      </c>
      <c r="J17" s="182" t="str">
        <f ca="1">OFFSET(L!$C$1,MATCH("Checker"&amp;ADDRESS(ROW(),COLUMN(),4),L!$A:$A,0)-1,SL,,)</f>
        <v>在“申报”选项卡 D28 单元格中，申报是否有意将金添加至贵公司的产品中</v>
      </c>
    </row>
    <row r="18" spans="1:10" ht="39">
      <c r="A18" s="106" t="str">
        <f ca="1">Declaration!B29</f>
        <v>钨</v>
      </c>
      <c r="B18" s="105" t="str">
        <f>Declaration!D29</f>
        <v>No</v>
      </c>
      <c r="C18" s="105" t="str">
        <f t="shared" ca="1" si="3"/>
        <v>填写</v>
      </c>
      <c r="D18" s="111" t="str">
        <f>IF(H18=1,"Click here to answer question 1 for Tungsten","")</f>
        <v/>
      </c>
      <c r="E18" s="87" t="s">
        <v>918</v>
      </c>
      <c r="F18" s="109">
        <v>1</v>
      </c>
      <c r="G18" s="84">
        <f t="shared" si="4"/>
        <v>0</v>
      </c>
      <c r="H18" s="85">
        <f t="shared" si="2"/>
        <v>0</v>
      </c>
      <c r="I18" s="181" t="str">
        <f ca="1">OFFSET(L!$C$1,MATCH("Checker"&amp;"Comp",L!$A:$A,0)-1,SL,,)</f>
        <v>填写</v>
      </c>
      <c r="J18" s="182" t="str">
        <f ca="1">OFFSET(L!$C$1,MATCH("Checker"&amp;ADDRESS(ROW(),COLUMN(),4),L!$A:$A,0)-1,SL,,)</f>
        <v>在“申报”选项卡 D29 单元格中，申报是否有意将钨添加至贵公司的产品中</v>
      </c>
    </row>
    <row r="19" spans="1:10" ht="51">
      <c r="A19" s="105" t="str">
        <f ca="1">Declaration!B31</f>
        <v>2) 是否有任何 3TG 仍存在于产品中？</v>
      </c>
      <c r="B19" s="108"/>
      <c r="C19" s="108"/>
      <c r="D19" s="112"/>
      <c r="E19" s="87" t="s">
        <v>919</v>
      </c>
      <c r="F19" s="109"/>
      <c r="G19" s="24"/>
      <c r="H19" s="24"/>
      <c r="J19" s="182"/>
    </row>
    <row r="20" spans="1:10" ht="39">
      <c r="A20" s="106" t="str">
        <f ca="1">Declaration!B32</f>
        <v>钽</v>
      </c>
      <c r="B20" s="105">
        <f>IF($B$15="Yes",Declaration!D32,0)</f>
        <v>0</v>
      </c>
      <c r="C20" s="105" t="str">
        <f t="shared" ca="1" si="3"/>
        <v>填写</v>
      </c>
      <c r="D20" s="113" t="str">
        <f>IF(H20=1,"Click here to answer question 2 for Tantalum","")</f>
        <v/>
      </c>
      <c r="E20" s="87" t="s">
        <v>918</v>
      </c>
      <c r="F20" s="110">
        <f>IF(B$15="No",0,1)</f>
        <v>0</v>
      </c>
      <c r="G20" s="84">
        <f t="shared" si="4"/>
        <v>1</v>
      </c>
      <c r="H20" s="85">
        <f t="shared" si="2"/>
        <v>0</v>
      </c>
      <c r="I20" s="181" t="str">
        <f ca="1">OFFSET(L!$C$1,MATCH("Checker"&amp;"Comp",L!$A:$A,0)-1,SL,,)</f>
        <v>填写</v>
      </c>
      <c r="J20" s="182" t="str">
        <f ca="1">OFFSET(L!$C$1,MATCH("Checker"&amp;ADDRESS(ROW(),COLUMN(),4),L!$A:$A,0)-1,SL,,)</f>
        <v>在“申报”选项卡 D32 单元格中，申报钽是否必须用于贵公司产品的生产中，并且包含在申报的成品内</v>
      </c>
    </row>
    <row r="21" spans="1:10" ht="39">
      <c r="A21" s="106" t="str">
        <f ca="1">Declaration!B33</f>
        <v>锡</v>
      </c>
      <c r="B21" s="105">
        <f>IF($B$16="Yes",Declaration!D33,0)</f>
        <v>0</v>
      </c>
      <c r="C21" s="105" t="str">
        <f t="shared" ca="1" si="3"/>
        <v>填写</v>
      </c>
      <c r="D21" s="113" t="str">
        <f>IF(H21=1,"Click here to answer question 2 for Tin","")</f>
        <v/>
      </c>
      <c r="E21" s="87" t="s">
        <v>918</v>
      </c>
      <c r="F21" s="110">
        <f>IF(B$16="No",0,1)</f>
        <v>0</v>
      </c>
      <c r="G21" s="84">
        <f t="shared" si="4"/>
        <v>1</v>
      </c>
      <c r="H21" s="85">
        <f t="shared" si="2"/>
        <v>0</v>
      </c>
      <c r="I21" s="181" t="str">
        <f ca="1">OFFSET(L!$C$1,MATCH("Checker"&amp;"Comp",L!$A:$A,0)-1,SL,,)</f>
        <v>填写</v>
      </c>
      <c r="J21" s="182" t="str">
        <f ca="1">OFFSET(L!$C$1,MATCH("Checker"&amp;ADDRESS(ROW(),COLUMN(),4),L!$A:$A,0)-1,SL,,)</f>
        <v>在“申报”选项卡 D33 单元格中，申报锡是否必须用于贵公司产品的生产中，并且包含在申报的成品内</v>
      </c>
    </row>
    <row r="22" spans="1:10" ht="39">
      <c r="A22" s="106" t="str">
        <f ca="1">Declaration!B34</f>
        <v>金</v>
      </c>
      <c r="B22" s="105">
        <f>IF($B$17="Yes",Declaration!D34,0)</f>
        <v>0</v>
      </c>
      <c r="C22" s="105" t="str">
        <f t="shared" ca="1" si="3"/>
        <v>填写</v>
      </c>
      <c r="D22" s="113" t="str">
        <f>IF(H22=1,"Click here to answer question 2 for Gold","")</f>
        <v/>
      </c>
      <c r="E22" s="87" t="s">
        <v>918</v>
      </c>
      <c r="F22" s="110">
        <f>IF(B$17="No",0,1)</f>
        <v>0</v>
      </c>
      <c r="G22" s="84">
        <f t="shared" si="4"/>
        <v>1</v>
      </c>
      <c r="H22" s="85">
        <f t="shared" si="2"/>
        <v>0</v>
      </c>
      <c r="I22" s="181" t="str">
        <f ca="1">OFFSET(L!$C$1,MATCH("Checker"&amp;"Comp",L!$A:$A,0)-1,SL,,)</f>
        <v>填写</v>
      </c>
      <c r="J22" s="182" t="str">
        <f ca="1">OFFSET(L!$C$1,MATCH("Checker"&amp;ADDRESS(ROW(),COLUMN(),4),L!$A:$A,0)-1,SL,,)</f>
        <v>在“申报”选项卡 D34 单元格中，申报金是否必须用于贵公司产品的生产中，并且包含在申报的成品内</v>
      </c>
    </row>
    <row r="23" spans="1:10" ht="39">
      <c r="A23" s="106" t="str">
        <f ca="1">Declaration!B35</f>
        <v>钨</v>
      </c>
      <c r="B23" s="105">
        <f>IF($B$18="Yes",Declaration!D35,0)</f>
        <v>0</v>
      </c>
      <c r="C23" s="105" t="str">
        <f t="shared" ca="1" si="3"/>
        <v>填写</v>
      </c>
      <c r="D23" s="113" t="str">
        <f>IF(H23=1,"Click here to answer question 2 for Tungsten","")</f>
        <v/>
      </c>
      <c r="E23" s="87" t="s">
        <v>918</v>
      </c>
      <c r="F23" s="110">
        <f>IF(B$18="No",0,1)</f>
        <v>0</v>
      </c>
      <c r="G23" s="84">
        <f t="shared" si="4"/>
        <v>1</v>
      </c>
      <c r="H23" s="85">
        <f t="shared" si="2"/>
        <v>0</v>
      </c>
      <c r="I23" s="181" t="str">
        <f ca="1">OFFSET(L!$C$1,MATCH("Checker"&amp;"Comp",L!$A:$A,0)-1,SL,,)</f>
        <v>填写</v>
      </c>
      <c r="J23" s="182" t="str">
        <f ca="1">OFFSET(L!$C$1,MATCH("Checker"&amp;ADDRESS(ROW(),COLUMN(),4),L!$A:$A,0)-1,SL,,)</f>
        <v>在“申报”选项卡 D35 单元格中，申报钨是否必须用于贵公司产品的生产中，并且包含在申报的成品内</v>
      </c>
    </row>
    <row r="24" spans="1:10" ht="57.75" customHeight="1">
      <c r="A24" s="105" t="str">
        <f ca="1">Declaration!B37</f>
        <v>3) 贵公司供应链中的冶炼厂是否从所指明的国家采购 3TG？（有关术语“SEC”，请参见定义选项卡）</v>
      </c>
      <c r="B24" s="108"/>
      <c r="C24" s="108"/>
      <c r="D24" s="112"/>
      <c r="E24" s="87" t="s">
        <v>918</v>
      </c>
      <c r="F24" s="109"/>
      <c r="G24" s="24"/>
      <c r="H24" s="24"/>
      <c r="J24" s="182"/>
    </row>
    <row r="25" spans="1:10" ht="39">
      <c r="A25" s="106" t="str">
        <f ca="1">Declaration!B38</f>
        <v>钽</v>
      </c>
      <c r="B25" s="105">
        <f>IF(AND($B$15="Yes",$B$20="Yes"),Declaration!D38,0)</f>
        <v>0</v>
      </c>
      <c r="C25" s="105" t="str">
        <f t="shared" ca="1" si="3"/>
        <v>填写</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填写</v>
      </c>
      <c r="J25" s="22" t="str">
        <f ca="1">OFFSET(L!$C$1,MATCH("Checker"&amp;ADDRESS(ROW(),COLUMN(),4),L!$A:$A,0)-1,SL,,)</f>
        <v>在“申报”选项卡 D38 单元格中，申报在此调查回答里申报的产品范围内所用钽的原产地是否为刚果民主共和国或毗邻国家或地区</v>
      </c>
    </row>
    <row r="26" spans="1:10" ht="39">
      <c r="A26" s="106" t="str">
        <f ca="1">Declaration!B39</f>
        <v>锡</v>
      </c>
      <c r="B26" s="105">
        <f>IF(AND($B$16="Yes",$B$21="Yes"),Declaration!D39,0)</f>
        <v>0</v>
      </c>
      <c r="C26" s="105" t="str">
        <f t="shared" ca="1" si="3"/>
        <v>填写</v>
      </c>
      <c r="D26" s="113" t="str">
        <f>IF(H26=1,"Click here to answer question 3 for Tin","")</f>
        <v/>
      </c>
      <c r="E26" s="87" t="s">
        <v>918</v>
      </c>
      <c r="F26" s="110">
        <f>IF(OR(B16="No",B21="No"),0,1)</f>
        <v>0</v>
      </c>
      <c r="G26" s="84">
        <f t="shared" si="5"/>
        <v>1</v>
      </c>
      <c r="H26" s="85">
        <f t="shared" si="6"/>
        <v>0</v>
      </c>
      <c r="I26" s="181" t="str">
        <f ca="1">OFFSET(L!$C$1,MATCH("Checker"&amp;"Comp",L!$A:$A,0)-1,SL,,)</f>
        <v>填写</v>
      </c>
      <c r="J26" s="22" t="str">
        <f ca="1">OFFSET(L!$C$1,MATCH("Checker"&amp;ADDRESS(ROW(),COLUMN(),4),L!$A:$A,0)-1,SL,,)</f>
        <v>在“申报”选项卡 D39 单元格中，申报在此调查回答里申报的产品范围内所用锡的原产地是否为刚果民主共和国或毗邻国家或地区</v>
      </c>
    </row>
    <row r="27" spans="1:10" ht="39">
      <c r="A27" s="106" t="str">
        <f ca="1">Declaration!B40</f>
        <v>金</v>
      </c>
      <c r="B27" s="105">
        <f>IF(AND($B$17="Yes",$B$22="Yes"),Declaration!D40,0)</f>
        <v>0</v>
      </c>
      <c r="C27" s="105" t="str">
        <f t="shared" ca="1" si="3"/>
        <v>填写</v>
      </c>
      <c r="D27" s="113" t="str">
        <f>IF(H27=1,"Click here to answer question 3 for Gold","")</f>
        <v/>
      </c>
      <c r="E27" s="87" t="s">
        <v>918</v>
      </c>
      <c r="F27" s="110">
        <f>IF(OR(B17="No",B22="No"),0,1)</f>
        <v>0</v>
      </c>
      <c r="G27" s="84">
        <f t="shared" si="5"/>
        <v>1</v>
      </c>
      <c r="H27" s="85">
        <f t="shared" si="6"/>
        <v>0</v>
      </c>
      <c r="I27" s="181" t="str">
        <f ca="1">OFFSET(L!$C$1,MATCH("Checker"&amp;"Comp",L!$A:$A,0)-1,SL,,)</f>
        <v>填写</v>
      </c>
      <c r="J27" s="22" t="str">
        <f ca="1">OFFSET(L!$C$1,MATCH("Checker"&amp;ADDRESS(ROW(),COLUMN(),4),L!$A:$A,0)-1,SL,,)</f>
        <v>在“申报”选项卡 D40 单元格中，申报在此调查回答里申报的产品范围内所用金的原产地是否为刚果民主共和国或毗邻国家或地区</v>
      </c>
    </row>
    <row r="28" spans="1:10" ht="39">
      <c r="A28" s="106" t="str">
        <f ca="1">Declaration!B41</f>
        <v>钨</v>
      </c>
      <c r="B28" s="105">
        <f>IF(AND($B$18="Yes",$B$23="Yes"),Declaration!D41,0)</f>
        <v>0</v>
      </c>
      <c r="C28" s="105" t="str">
        <f t="shared" ca="1" si="3"/>
        <v>填写</v>
      </c>
      <c r="D28" s="113" t="str">
        <f>IF(H28=1,"Click here to answer question 3 for Tungsten","")</f>
        <v/>
      </c>
      <c r="E28" s="87" t="s">
        <v>918</v>
      </c>
      <c r="F28" s="110">
        <f>IF(OR(B18="No",B23="No"),0,1)</f>
        <v>0</v>
      </c>
      <c r="G28" s="84">
        <f t="shared" si="5"/>
        <v>1</v>
      </c>
      <c r="H28" s="85">
        <f t="shared" si="6"/>
        <v>0</v>
      </c>
      <c r="I28" s="181" t="str">
        <f ca="1">OFFSET(L!$C$1,MATCH("Checker"&amp;"Comp",L!$A:$A,0)-1,SL,,)</f>
        <v>填写</v>
      </c>
      <c r="J28" s="22" t="str">
        <f ca="1">OFFSET(L!$C$1,MATCH("Checker"&amp;ADDRESS(ROW(),COLUMN(),4),L!$A:$A,0)-1,SL,,)</f>
        <v>在“申报”选项卡 D41 单元格中，申报在此调查回答里申报的产品范围内所用钨的原产地是否为刚果民主共和国或毗邻国家或地区</v>
      </c>
    </row>
    <row r="29" spans="1:10" ht="38.25">
      <c r="A29" s="105" t="str">
        <f ca="1">Declaration!B43</f>
        <v>4) 是否 100% 的 3TG（因产品功能或生产而必须使用）来自于回收料或报废料？</v>
      </c>
      <c r="B29" s="108"/>
      <c r="C29" s="108"/>
      <c r="D29" s="112"/>
      <c r="E29" s="87" t="s">
        <v>1437</v>
      </c>
      <c r="F29" s="109"/>
      <c r="G29" s="24"/>
      <c r="H29" s="24"/>
      <c r="J29" s="182"/>
    </row>
    <row r="30" spans="1:10" ht="39">
      <c r="A30" s="106" t="str">
        <f ca="1">Declaration!B44</f>
        <v>钽</v>
      </c>
      <c r="B30" s="105">
        <f>IF(AND($B$15="Yes",$B$20="Yes"),Declaration!D44,0)</f>
        <v>0</v>
      </c>
      <c r="C30" s="105" t="str">
        <f ca="1">IF(H30=1,J30,I30)</f>
        <v>填写</v>
      </c>
      <c r="D30" s="113" t="str">
        <f>IF(H30=1,"Click here to answer question 4 for Tantalum","")</f>
        <v/>
      </c>
      <c r="E30" s="87" t="s">
        <v>1437</v>
      </c>
      <c r="F30" s="110">
        <f>F25</f>
        <v>0</v>
      </c>
      <c r="G30" s="84">
        <f>IF(B30=0,1,0)</f>
        <v>1</v>
      </c>
      <c r="H30" s="85">
        <f>F30*G30</f>
        <v>0</v>
      </c>
      <c r="I30" s="181" t="str">
        <f ca="1">OFFSET(L!$C$1,MATCH("Checker"&amp;"Comp",L!$A:$A,0)-1,SL,,)</f>
        <v>填写</v>
      </c>
      <c r="J30" s="182" t="str">
        <f ca="1">OFFSET(L!$C$1,MATCH("Checker"&amp;ADDRESS(ROW(),COLUMN(),4),L!$A:$A,0)-1,SL,,)</f>
        <v>在“申报”选项卡 D44 单元格中，申报在此调查回答里申报的产品范围内所用钽是否完全来自回收料或报废料</v>
      </c>
    </row>
    <row r="31" spans="1:10" ht="39">
      <c r="A31" s="106" t="str">
        <f ca="1">Declaration!B45</f>
        <v>锡</v>
      </c>
      <c r="B31" s="105">
        <f>IF(AND($B$16="Yes",$B$21="Yes"),Declaration!D45,0)</f>
        <v>0</v>
      </c>
      <c r="C31" s="105" t="str">
        <f ca="1">IF(H31=1,J31,I31)</f>
        <v>填写</v>
      </c>
      <c r="D31" s="113" t="str">
        <f>IF(H31=1,"Click here to answer question 4 for Tin","")</f>
        <v/>
      </c>
      <c r="E31" s="87" t="s">
        <v>1437</v>
      </c>
      <c r="F31" s="110">
        <f>F26</f>
        <v>0</v>
      </c>
      <c r="G31" s="84">
        <f>IF(B31=0,1,0)</f>
        <v>1</v>
      </c>
      <c r="H31" s="85">
        <f>F31*G31</f>
        <v>0</v>
      </c>
      <c r="I31" s="181" t="str">
        <f ca="1">OFFSET(L!$C$1,MATCH("Checker"&amp;"Comp",L!$A:$A,0)-1,SL,,)</f>
        <v>填写</v>
      </c>
      <c r="J31" s="182" t="str">
        <f ca="1">OFFSET(L!$C$1,MATCH("Checker"&amp;ADDRESS(ROW(),COLUMN(),4),L!$A:$A,0)-1,SL,,)</f>
        <v>在“申报”选项卡 D45 单元格中，申报在此调查回答里申报的产品范围内所用锡是否完全来自回收料或报废料</v>
      </c>
    </row>
    <row r="32" spans="1:10" ht="39">
      <c r="A32" s="106" t="str">
        <f ca="1">Declaration!B46</f>
        <v>金</v>
      </c>
      <c r="B32" s="105">
        <f>IF(AND($B$17="Yes",$B$22="Yes"),Declaration!D46,0)</f>
        <v>0</v>
      </c>
      <c r="C32" s="105" t="str">
        <f ca="1">IF(H32=1,J32,I32)</f>
        <v>填写</v>
      </c>
      <c r="D32" s="113" t="str">
        <f>IF(H32=1,"Click here to answer question 4 for Gold","")</f>
        <v/>
      </c>
      <c r="E32" s="87" t="s">
        <v>1437</v>
      </c>
      <c r="F32" s="110">
        <f>F27</f>
        <v>0</v>
      </c>
      <c r="G32" s="84">
        <f>IF(B32=0,1,0)</f>
        <v>1</v>
      </c>
      <c r="H32" s="85">
        <f>F32*G32</f>
        <v>0</v>
      </c>
      <c r="I32" s="181" t="str">
        <f ca="1">OFFSET(L!$C$1,MATCH("Checker"&amp;"Comp",L!$A:$A,0)-1,SL,,)</f>
        <v>填写</v>
      </c>
      <c r="J32" s="182" t="str">
        <f ca="1">OFFSET(L!$C$1,MATCH("Checker"&amp;ADDRESS(ROW(),COLUMN(),4),L!$A:$A,0)-1,SL,,)</f>
        <v>在“申报”选项卡 D46 单元格中，申报在此调查回答里申报的产品范围内所用金是否完全来自回收料或报废料</v>
      </c>
    </row>
    <row r="33" spans="1:10" ht="39">
      <c r="A33" s="106" t="str">
        <f ca="1">Declaration!B47</f>
        <v>钨</v>
      </c>
      <c r="B33" s="105">
        <f>IF(AND($B$18="Yes",$B$23="Yes"),Declaration!D47,0)</f>
        <v>0</v>
      </c>
      <c r="C33" s="105" t="str">
        <f ca="1">IF(H33=1,J33,I33)</f>
        <v>填写</v>
      </c>
      <c r="D33" s="113" t="str">
        <f>IF(H33=1,"Click here to answer question 4 for Tungsten","")</f>
        <v/>
      </c>
      <c r="E33" s="87" t="s">
        <v>1437</v>
      </c>
      <c r="F33" s="110">
        <f>F28</f>
        <v>0</v>
      </c>
      <c r="G33" s="84">
        <f>IF(B33=0,1,0)</f>
        <v>1</v>
      </c>
      <c r="H33" s="85">
        <f>F33*G33</f>
        <v>0</v>
      </c>
      <c r="I33" s="181" t="str">
        <f ca="1">OFFSET(L!$C$1,MATCH("Checker"&amp;"Comp",L!$A:$A,0)-1,SL,,)</f>
        <v>填写</v>
      </c>
      <c r="J33" s="182" t="str">
        <f ca="1">OFFSET(L!$C$1,MATCH("Checker"&amp;ADDRESS(ROW(),COLUMN(),4),L!$A:$A,0)-1,SL,,)</f>
        <v>在“申报”选项卡 D46 单元格中，申报在此调查回答里申报的产品范围内所用钨是否完全来自回收料或报废料</v>
      </c>
    </row>
    <row r="34" spans="1:10" ht="38.25">
      <c r="A34" s="105" t="str">
        <f ca="1">Declaration!B49</f>
        <v>5) 已对贵公司供应链调查提供答复的相关供应商百分比是多少？</v>
      </c>
      <c r="B34" s="108"/>
      <c r="C34" s="108"/>
      <c r="D34" s="112"/>
      <c r="E34" s="87" t="s">
        <v>918</v>
      </c>
      <c r="F34" s="109"/>
      <c r="G34" s="24"/>
      <c r="H34" s="24"/>
    </row>
    <row r="35" spans="1:10" ht="26.25">
      <c r="A35" s="106" t="str">
        <f ca="1">Declaration!B50</f>
        <v>钽</v>
      </c>
      <c r="B35" s="105">
        <f>IF(AND($B$15="Yes",$B$20="Yes"),Declaration!D50,0)</f>
        <v>0</v>
      </c>
      <c r="C35" s="105" t="str">
        <f t="shared" ca="1" si="3"/>
        <v>填写</v>
      </c>
      <c r="D35" s="111" t="str">
        <f>IF(H35=1,"Click here to answer question 5 for Tantalum","")</f>
        <v/>
      </c>
      <c r="E35" s="87" t="s">
        <v>917</v>
      </c>
      <c r="F35" s="110">
        <f>F25</f>
        <v>0</v>
      </c>
      <c r="G35" s="84">
        <f t="shared" si="5"/>
        <v>1</v>
      </c>
      <c r="H35" s="85">
        <f t="shared" si="6"/>
        <v>0</v>
      </c>
      <c r="I35" s="181" t="str">
        <f ca="1">OFFSET(L!$C$1,MATCH("Checker"&amp;"Comp",L!$A:$A,0)-1,SL,,)</f>
        <v>填写</v>
      </c>
      <c r="J35" s="22" t="str">
        <f ca="1">OFFSET(L!$C$1,MATCH("Checker"&amp;ADDRESS(ROW(),COLUMN(),4),L!$A:$A,0)-1,SL,,)</f>
        <v>在“申报”选项卡 D50 单元格中，提供供应商的冶炼厂信息填写百分比</v>
      </c>
    </row>
    <row r="36" spans="1:10" ht="26.25">
      <c r="A36" s="106" t="str">
        <f ca="1">Declaration!B51</f>
        <v>锡</v>
      </c>
      <c r="B36" s="105">
        <f>IF(AND($B$16="Yes",$B$21="Yes"),Declaration!D51,0)</f>
        <v>0</v>
      </c>
      <c r="C36" s="105" t="str">
        <f ca="1">IF(H36=1,J36,I36)</f>
        <v>填写</v>
      </c>
      <c r="D36" s="111" t="str">
        <f>IF(H36=1,"Click here to answer question 5 for Tin","")</f>
        <v/>
      </c>
      <c r="E36" s="87" t="s">
        <v>917</v>
      </c>
      <c r="F36" s="110">
        <f>F26</f>
        <v>0</v>
      </c>
      <c r="G36" s="84">
        <f t="shared" si="5"/>
        <v>1</v>
      </c>
      <c r="H36" s="85">
        <f t="shared" si="6"/>
        <v>0</v>
      </c>
      <c r="I36" s="181" t="str">
        <f ca="1">OFFSET(L!$C$1,MATCH("Checker"&amp;"Comp",L!$A:$A,0)-1,SL,,)</f>
        <v>填写</v>
      </c>
      <c r="J36" s="22" t="str">
        <f ca="1">OFFSET(L!$C$1,MATCH("Checker"&amp;ADDRESS(ROW(),COLUMN(),4),L!$A:$A,0)-1,SL,,)</f>
        <v>在“申报”选项卡 D51 单元格中，提供供应商的冶炼厂信息填写百分比</v>
      </c>
    </row>
    <row r="37" spans="1:10" ht="26.25">
      <c r="A37" s="106" t="str">
        <f ca="1">Declaration!B52</f>
        <v>金</v>
      </c>
      <c r="B37" s="105">
        <f>IF(AND($B$17="Yes",$B$22="Yes"),Declaration!D52,0)</f>
        <v>0</v>
      </c>
      <c r="C37" s="105" t="str">
        <f t="shared" ca="1" si="3"/>
        <v>填写</v>
      </c>
      <c r="D37" s="111" t="str">
        <f>IF(H37=1,"Click here to answer question 5 for Gold","")</f>
        <v/>
      </c>
      <c r="E37" s="87" t="s">
        <v>917</v>
      </c>
      <c r="F37" s="110">
        <f>F27</f>
        <v>0</v>
      </c>
      <c r="G37" s="84">
        <f t="shared" si="5"/>
        <v>1</v>
      </c>
      <c r="H37" s="85">
        <f t="shared" si="6"/>
        <v>0</v>
      </c>
      <c r="I37" s="181" t="str">
        <f ca="1">OFFSET(L!$C$1,MATCH("Checker"&amp;"Comp",L!$A:$A,0)-1,SL,,)</f>
        <v>填写</v>
      </c>
      <c r="J37" s="22" t="str">
        <f ca="1">OFFSET(L!$C$1,MATCH("Checker"&amp;ADDRESS(ROW(),COLUMN(),4),L!$A:$A,0)-1,SL,,)</f>
        <v>在“申报”选项卡 D52 单元格中，提供供应商的冶炼厂信息填写百分比</v>
      </c>
    </row>
    <row r="38" spans="1:10" ht="26.25">
      <c r="A38" s="106" t="str">
        <f ca="1">Declaration!B53</f>
        <v>钨</v>
      </c>
      <c r="B38" s="105">
        <f>IF(AND($B$18="Yes",$B$23="Yes"),Declaration!D53,0)</f>
        <v>0</v>
      </c>
      <c r="C38" s="105" t="str">
        <f t="shared" ca="1" si="3"/>
        <v>填写</v>
      </c>
      <c r="D38" s="111" t="str">
        <f>IF(H38=1,"Click here to answer question 5 for Tungsten","")</f>
        <v/>
      </c>
      <c r="E38" s="87" t="s">
        <v>917</v>
      </c>
      <c r="F38" s="110">
        <f>F28</f>
        <v>0</v>
      </c>
      <c r="G38" s="84">
        <f t="shared" si="5"/>
        <v>1</v>
      </c>
      <c r="H38" s="85">
        <f t="shared" si="6"/>
        <v>0</v>
      </c>
      <c r="I38" s="181" t="str">
        <f ca="1">OFFSET(L!$C$1,MATCH("Checker"&amp;"Comp",L!$A:$A,0)-1,SL,,)</f>
        <v>填写</v>
      </c>
      <c r="J38" s="22" t="str">
        <f ca="1">OFFSET(L!$C$1,MATCH("Checker"&amp;ADDRESS(ROW(),COLUMN(),4),L!$A:$A,0)-1,SL,,)</f>
        <v>在“申报”选项卡 D53 单元格中，提供供应商的冶炼厂信息填写百分比</v>
      </c>
    </row>
    <row r="39" spans="1:10" ht="51">
      <c r="A39" s="105" t="str">
        <f ca="1">Declaration!B55</f>
        <v>6) 您是否识别出为贵公司供应链供应 3TG 的所有冶炼厂？</v>
      </c>
      <c r="B39" s="108"/>
      <c r="C39" s="108"/>
      <c r="D39" s="112"/>
      <c r="E39" s="87" t="s">
        <v>919</v>
      </c>
      <c r="F39" s="109"/>
      <c r="G39" s="24"/>
      <c r="H39" s="24"/>
    </row>
    <row r="40" spans="1:10" ht="51.75">
      <c r="A40" s="106" t="str">
        <f ca="1">Declaration!B56</f>
        <v>钽</v>
      </c>
      <c r="B40" s="105">
        <f>IF(AND($B$15="Yes",$B$20="Yes"),Declaration!D56,0)</f>
        <v>0</v>
      </c>
      <c r="C40" s="105" t="str">
        <f t="shared" ca="1" si="3"/>
        <v>填写</v>
      </c>
      <c r="D40" s="113" t="str">
        <f>IF(H40=1,"Click here to answer question 6 for Tantalum","")</f>
        <v/>
      </c>
      <c r="E40" s="87" t="s">
        <v>1433</v>
      </c>
      <c r="F40" s="110">
        <f>F25</f>
        <v>0</v>
      </c>
      <c r="G40" s="84">
        <f t="shared" si="5"/>
        <v>1</v>
      </c>
      <c r="H40" s="85">
        <f t="shared" si="6"/>
        <v>0</v>
      </c>
      <c r="I40" s="181" t="str">
        <f ca="1">OFFSET(L!$C$1,MATCH("Checker"&amp;"Comp",L!$A:$A,0)-1,SL,,)</f>
        <v>填写</v>
      </c>
      <c r="J40" s="22" t="str">
        <f ca="1">OFFSET(L!$C$1,MATCH("Checker"&amp;ADDRESS(ROW(),COLUMN(),4),L!$A:$A,0)-1,SL,,)</f>
        <v>在“申报”选项卡 D56 单元格中，申报是否在此调查回答里的申报产品范围下方提供了所有冶炼厂名称</v>
      </c>
    </row>
    <row r="41" spans="1:10" ht="51.75">
      <c r="A41" s="106" t="str">
        <f ca="1">Declaration!B57</f>
        <v>锡</v>
      </c>
      <c r="B41" s="105">
        <f>IF(AND($B$16="Yes",$B$21="Yes"),Declaration!D57,0)</f>
        <v>0</v>
      </c>
      <c r="C41" s="105" t="str">
        <f t="shared" ca="1" si="3"/>
        <v>填写</v>
      </c>
      <c r="D41" s="113" t="str">
        <f>IF(H41=1,"Click here to answer question 6 for Tin","")</f>
        <v/>
      </c>
      <c r="E41" s="87" t="s">
        <v>1433</v>
      </c>
      <c r="F41" s="110">
        <f>F26</f>
        <v>0</v>
      </c>
      <c r="G41" s="84">
        <f t="shared" si="5"/>
        <v>1</v>
      </c>
      <c r="H41" s="85">
        <f t="shared" si="6"/>
        <v>0</v>
      </c>
      <c r="I41" s="181" t="str">
        <f ca="1">OFFSET(L!$C$1,MATCH("Checker"&amp;"Comp",L!$A:$A,0)-1,SL,,)</f>
        <v>填写</v>
      </c>
      <c r="J41" s="22" t="str">
        <f ca="1">OFFSET(L!$C$1,MATCH("Checker"&amp;ADDRESS(ROW(),COLUMN(),4),L!$A:$A,0)-1,SL,,)</f>
        <v>在“申报”选项卡 D57 单元格中，申报是否在此调查回答里的申报产品范围下方提供了所有冶炼厂名称</v>
      </c>
    </row>
    <row r="42" spans="1:10" ht="51.75">
      <c r="A42" s="106" t="str">
        <f ca="1">Declaration!B58</f>
        <v>金</v>
      </c>
      <c r="B42" s="105">
        <f>IF(AND($B$17="Yes",$B$22="Yes"),Declaration!D58,0)</f>
        <v>0</v>
      </c>
      <c r="C42" s="105" t="str">
        <f t="shared" ca="1" si="3"/>
        <v>填写</v>
      </c>
      <c r="D42" s="113" t="str">
        <f>IF(H42=1,"Click here to answer question 6 for Gold","")</f>
        <v/>
      </c>
      <c r="E42" s="87" t="s">
        <v>1433</v>
      </c>
      <c r="F42" s="110">
        <f>F27</f>
        <v>0</v>
      </c>
      <c r="G42" s="84">
        <f t="shared" si="5"/>
        <v>1</v>
      </c>
      <c r="H42" s="85">
        <f t="shared" si="6"/>
        <v>0</v>
      </c>
      <c r="I42" s="181" t="str">
        <f ca="1">OFFSET(L!$C$1,MATCH("Checker"&amp;"Comp",L!$A:$A,0)-1,SL,,)</f>
        <v>填写</v>
      </c>
      <c r="J42" s="22" t="str">
        <f ca="1">OFFSET(L!$C$1,MATCH("Checker"&amp;ADDRESS(ROW(),COLUMN(),4),L!$A:$A,0)-1,SL,,)</f>
        <v>在“申报”选项卡 D58 单元格中，申报是否在此调查回答里的申报产品范围下方提供了所有冶炼厂名称</v>
      </c>
    </row>
    <row r="43" spans="1:10" ht="51.75">
      <c r="A43" s="106" t="str">
        <f ca="1">Declaration!B59</f>
        <v>钨</v>
      </c>
      <c r="B43" s="105">
        <f>IF(AND($B$18="Yes",$B$23="Yes"),Declaration!D59,0)</f>
        <v>0</v>
      </c>
      <c r="C43" s="105" t="str">
        <f t="shared" ca="1" si="3"/>
        <v>填写</v>
      </c>
      <c r="D43" s="113" t="str">
        <f>IF(H43=1,"Click here to answer question 6 for Tungsten","")</f>
        <v/>
      </c>
      <c r="E43" s="87" t="s">
        <v>1433</v>
      </c>
      <c r="F43" s="110">
        <f>F28</f>
        <v>0</v>
      </c>
      <c r="G43" s="84">
        <f t="shared" si="5"/>
        <v>1</v>
      </c>
      <c r="H43" s="85">
        <f t="shared" si="6"/>
        <v>0</v>
      </c>
      <c r="I43" s="181" t="str">
        <f ca="1">OFFSET(L!$C$1,MATCH("Checker"&amp;"Comp",L!$A:$A,0)-1,SL,,)</f>
        <v>填写</v>
      </c>
      <c r="J43" s="22" t="str">
        <f ca="1">OFFSET(L!$C$1,MATCH("Checker"&amp;ADDRESS(ROW(),COLUMN(),4),L!$A:$A,0)-1,SL,,)</f>
        <v>在“申报”选项卡 D59 单元格中，申报是否在此调查回答里的申报产品范围下方提供了所有冶炼厂名称</v>
      </c>
    </row>
    <row r="44" spans="1:10" ht="63.75">
      <c r="A44" s="105" t="str">
        <f ca="1">Declaration!B61</f>
        <v>7) 贵公司收到的所有适用冶炼厂信息是否已在此申报中报告？</v>
      </c>
      <c r="B44" s="108"/>
      <c r="C44" s="108"/>
      <c r="D44" s="112"/>
      <c r="E44" s="87" t="s">
        <v>920</v>
      </c>
      <c r="F44" s="109"/>
      <c r="G44" s="24"/>
      <c r="H44" s="24"/>
    </row>
    <row r="45" spans="1:10" ht="39">
      <c r="A45" s="106" t="str">
        <f ca="1">Declaration!B62</f>
        <v>钽</v>
      </c>
      <c r="B45" s="105">
        <f>IF(AND($B$15="Yes",$B$20="Yes"),Declaration!D62,0)</f>
        <v>0</v>
      </c>
      <c r="C45" s="105" t="str">
        <f t="shared" ca="1" si="3"/>
        <v>填写</v>
      </c>
      <c r="D45" s="114" t="str">
        <f>IF(H45=1,"Click here to answer question 7 for Tantalum","")</f>
        <v/>
      </c>
      <c r="E45" s="87" t="s">
        <v>918</v>
      </c>
      <c r="F45" s="110">
        <f>F25</f>
        <v>0</v>
      </c>
      <c r="G45" s="84">
        <f t="shared" si="5"/>
        <v>1</v>
      </c>
      <c r="H45" s="85">
        <f t="shared" si="6"/>
        <v>0</v>
      </c>
      <c r="I45" s="181" t="str">
        <f ca="1">OFFSET(L!$C$1,MATCH("Checker"&amp;"Comp",L!$A:$A,0)-1,SL,,)</f>
        <v>填写</v>
      </c>
      <c r="J45" s="22" t="str">
        <f ca="1">OFFSET(L!$C$1,MATCH("Checker"&amp;ADDRESS(ROW(),COLUMN(),4),L!$A:$A,0)-1,SL,,)</f>
        <v>在“申报”选项卡 D62 单元格中，申报是否已提供所有适用钽冶炼厂信息</v>
      </c>
    </row>
    <row r="46" spans="1:10" ht="39">
      <c r="A46" s="106" t="str">
        <f ca="1">Declaration!B63</f>
        <v>锡</v>
      </c>
      <c r="B46" s="105">
        <f>IF(AND($B$16="Yes",$B$21="Yes"),Declaration!D63,0)</f>
        <v>0</v>
      </c>
      <c r="C46" s="105" t="str">
        <f t="shared" ca="1" si="3"/>
        <v>填写</v>
      </c>
      <c r="D46" s="114" t="str">
        <f>IF(H46=1,"Click here to answer question 7 for Tin","")</f>
        <v/>
      </c>
      <c r="E46" s="87" t="s">
        <v>918</v>
      </c>
      <c r="F46" s="110">
        <f>F26</f>
        <v>0</v>
      </c>
      <c r="G46" s="84">
        <f t="shared" si="5"/>
        <v>1</v>
      </c>
      <c r="H46" s="85">
        <f t="shared" si="6"/>
        <v>0</v>
      </c>
      <c r="I46" s="181" t="str">
        <f ca="1">OFFSET(L!$C$1,MATCH("Checker"&amp;"Comp",L!$A:$A,0)-1,SL,,)</f>
        <v>填写</v>
      </c>
      <c r="J46" s="22" t="str">
        <f ca="1">OFFSET(L!$C$1,MATCH("Checker"&amp;ADDRESS(ROW(),COLUMN(),4),L!$A:$A,0)-1,SL,,)</f>
        <v>在“申报”选项卡 D63 单元格中，申报是否已提供所有适用锡冶炼厂信息</v>
      </c>
    </row>
    <row r="47" spans="1:10" ht="39">
      <c r="A47" s="106" t="str">
        <f ca="1">Declaration!B64</f>
        <v>金</v>
      </c>
      <c r="B47" s="105">
        <f>IF(AND($B$17="Yes",$B$22="Yes"),Declaration!D64,0)</f>
        <v>0</v>
      </c>
      <c r="C47" s="105" t="str">
        <f t="shared" ca="1" si="3"/>
        <v>填写</v>
      </c>
      <c r="D47" s="114" t="str">
        <f>IF(H47=1,"Click here to answer question 7 for Gold","")</f>
        <v/>
      </c>
      <c r="E47" s="87" t="s">
        <v>918</v>
      </c>
      <c r="F47" s="110">
        <f>F27</f>
        <v>0</v>
      </c>
      <c r="G47" s="84">
        <f t="shared" si="5"/>
        <v>1</v>
      </c>
      <c r="H47" s="85">
        <f t="shared" si="6"/>
        <v>0</v>
      </c>
      <c r="I47" s="181" t="str">
        <f ca="1">OFFSET(L!$C$1,MATCH("Checker"&amp;"Comp",L!$A:$A,0)-1,SL,,)</f>
        <v>填写</v>
      </c>
      <c r="J47" s="22" t="str">
        <f ca="1">OFFSET(L!$C$1,MATCH("Checker"&amp;ADDRESS(ROW(),COLUMN(),4),L!$A:$A,0)-1,SL,,)</f>
        <v>在“申报”选项卡 D64 单元格中，申报是否已提供所有适用金冶炼厂信息</v>
      </c>
    </row>
    <row r="48" spans="1:10" ht="39">
      <c r="A48" s="106" t="str">
        <f ca="1">Declaration!B65</f>
        <v>钨</v>
      </c>
      <c r="B48" s="105">
        <f>IF(AND($B$18="Yes",$B$23="Yes"),Declaration!D65,0)</f>
        <v>0</v>
      </c>
      <c r="C48" s="105" t="str">
        <f t="shared" ca="1" si="3"/>
        <v>填写</v>
      </c>
      <c r="D48" s="114" t="str">
        <f>IF(H48=1,"Click here to answer question 7 for Tungsten","")</f>
        <v/>
      </c>
      <c r="E48" s="87" t="s">
        <v>918</v>
      </c>
      <c r="F48" s="110">
        <f>F28</f>
        <v>0</v>
      </c>
      <c r="G48" s="84">
        <f t="shared" si="5"/>
        <v>1</v>
      </c>
      <c r="H48" s="85">
        <f t="shared" si="6"/>
        <v>0</v>
      </c>
      <c r="I48" s="181" t="str">
        <f ca="1">OFFSET(L!$C$1,MATCH("Checker"&amp;"Comp",L!$A:$A,0)-1,SL,,)</f>
        <v>填写</v>
      </c>
      <c r="J48" s="22" t="str">
        <f ca="1">OFFSET(L!$C$1,MATCH("Checker"&amp;ADDRESS(ROW(),COLUMN(),4),L!$A:$A,0)-1,SL,,)</f>
        <v>在“申报”选项卡 D65 单元格中，申报是否已提供所有适用钨冶炼厂信息</v>
      </c>
    </row>
    <row r="49" spans="1:12" ht="25.5">
      <c r="A49" s="105" t="str">
        <f ca="1">Declaration!B68</f>
        <v>问题</v>
      </c>
      <c r="B49" s="108"/>
      <c r="C49" s="108"/>
      <c r="D49" s="112"/>
      <c r="E49" s="87" t="s">
        <v>509</v>
      </c>
      <c r="F49" s="109"/>
      <c r="G49" s="109"/>
      <c r="H49" s="109"/>
    </row>
    <row r="50" spans="1:12" ht="39">
      <c r="A50" s="105" t="str">
        <f ca="1">Declaration!B69</f>
        <v>A. 贵公司是否已制定冲突矿产采购政策？</v>
      </c>
      <c r="B50" s="105" t="str">
        <f>Declaration!D69</f>
        <v>Yes</v>
      </c>
      <c r="C50" s="105" t="str">
        <f t="shared" ca="1" si="3"/>
        <v>填写</v>
      </c>
      <c r="D50" s="111" t="str">
        <f>IF(H50=1,"Click here to answer question (A)","")</f>
        <v/>
      </c>
      <c r="E50" s="87" t="s">
        <v>1437</v>
      </c>
      <c r="F50" s="110">
        <f>IF(SUM(F$25:F$28)=0,0,1)</f>
        <v>0</v>
      </c>
      <c r="G50" s="84">
        <f t="shared" si="5"/>
        <v>0</v>
      </c>
      <c r="H50" s="85">
        <f t="shared" si="6"/>
        <v>0</v>
      </c>
      <c r="I50" s="181" t="str">
        <f ca="1">OFFSET(L!$C$1,MATCH("Checker"&amp;"Comp",L!$A:$A,0)-1,SL,,)</f>
        <v>填写</v>
      </c>
      <c r="J50" s="22" t="str">
        <f ca="1">OFFSET(L!$C$1,MATCH("Checker"&amp;ADDRESS(ROW(),COLUMN(),4),L!$A:$A,0)-1,SL,,)</f>
        <v>在“申报”选项卡 D69 单元格中，回答贵公司是否制定了不使用刚果民主共和国涉及冲突之冲突矿产的采购政策</v>
      </c>
    </row>
    <row r="51" spans="1:12" ht="54.75" customHeight="1">
      <c r="A51" s="105" t="str">
        <f ca="1">Declaration!B71</f>
        <v>B. 贵公司的冲突矿产采购政策是否公开发布于贵公司网页上？（备注 - 如果是，请在注释字段中注明 URL。）</v>
      </c>
      <c r="B51" s="105" t="str">
        <f>Declaration!D71</f>
        <v>Yes</v>
      </c>
      <c r="C51" s="105" t="str">
        <f t="shared" ca="1" si="3"/>
        <v>填写</v>
      </c>
      <c r="D51" s="111" t="str">
        <f>IF(H51=1,"Click here to answer question (B)","")</f>
        <v/>
      </c>
      <c r="E51" s="87" t="s">
        <v>1437</v>
      </c>
      <c r="F51" s="110">
        <f t="shared" ref="F51:F60" si="7">F$50</f>
        <v>0</v>
      </c>
      <c r="G51" s="84">
        <f t="shared" si="5"/>
        <v>0</v>
      </c>
      <c r="H51" s="85">
        <f t="shared" si="6"/>
        <v>0</v>
      </c>
      <c r="I51" s="181" t="str">
        <f ca="1">OFFSET(L!$C$1,MATCH("Checker"&amp;"Comp",L!$A:$A,0)-1,SL,,)</f>
        <v>填写</v>
      </c>
      <c r="J51" s="22" t="str">
        <f ca="1">OFFSET(L!$C$1,MATCH("Checker"&amp;ADDRESS(ROW(),COLUMN(),4),L!$A:$A,0)-1,SL,,)</f>
        <v>在“申报”选项卡 D71 单元格中，回答贵公司是否在贵公司的网站上公开发布不使用刚果民主共和国涉及冲突之冲突矿产的采购政策</v>
      </c>
    </row>
    <row r="52" spans="1:12" ht="38.65" customHeight="1">
      <c r="A52" s="105" t="s">
        <v>6</v>
      </c>
      <c r="B52" s="105" t="str">
        <f>Declaration!G71</f>
        <v>www.sat-cn.com</v>
      </c>
      <c r="C52" s="105" t="str">
        <f ca="1">IF(H52=1,J52,I52)</f>
        <v>填写</v>
      </c>
      <c r="D52" s="111" t="str">
        <f>IF(H52=1,"Click here to specify URL for question (B)","")</f>
        <v/>
      </c>
      <c r="E52" s="87"/>
      <c r="F52" s="110">
        <f>IF(AND(F51=1,B51="Yes"),1,0)</f>
        <v>0</v>
      </c>
      <c r="G52" s="84">
        <f>IF(LEN(B52)&gt;1,0,1)</f>
        <v>0</v>
      </c>
      <c r="H52" s="85">
        <f t="shared" si="6"/>
        <v>0</v>
      </c>
      <c r="I52" s="181" t="str">
        <f ca="1">OFFSET(L!$C$1,MATCH("Checker"&amp;"Comp",L!$A:$A,0)-1,SL,,)</f>
        <v>填写</v>
      </c>
      <c r="J52" s="174" t="str">
        <f ca="1">OFFSET(L!$C$1,MATCH("Checker"&amp;ADDRESS(ROW(),COLUMN(),4),L!$A:$A,0)-1,SL,,)</f>
        <v xml:space="preserve">如果问题 B 的答案为“是”，则请在“申报”工作表 G71 单元格中输入 URL。URL 的格式应为“www.companyname.com” </v>
      </c>
    </row>
    <row r="53" spans="1:12" ht="39">
      <c r="A53" s="105" t="str">
        <f ca="1">Declaration!B73</f>
        <v>C. 您是否要求你的直接供应商不使用来自刚果民主共和国的涉及冲突之冲突矿产？</v>
      </c>
      <c r="B53" s="105" t="str">
        <f>Declaration!D73</f>
        <v>Yes</v>
      </c>
      <c r="C53" s="105" t="str">
        <f t="shared" ca="1" si="3"/>
        <v>填写</v>
      </c>
      <c r="D53" s="111" t="str">
        <f>IF(H53=1,"Click here to answer question (C)","")</f>
        <v/>
      </c>
      <c r="E53" s="87" t="s">
        <v>1437</v>
      </c>
      <c r="F53" s="110">
        <f t="shared" si="7"/>
        <v>0</v>
      </c>
      <c r="G53" s="84">
        <f t="shared" si="5"/>
        <v>0</v>
      </c>
      <c r="H53" s="85">
        <f t="shared" si="6"/>
        <v>0</v>
      </c>
      <c r="I53" s="181" t="str">
        <f ca="1">OFFSET(L!$C$1,MATCH("Checker"&amp;"Comp",L!$A:$A,0)-1,SL,,)</f>
        <v>填写</v>
      </c>
      <c r="J53" s="22" t="str">
        <f ca="1">OFFSET(L!$C$1,MATCH("Checker"&amp;ADDRESS(ROW(),COLUMN(),4),L!$A:$A,0)-1,SL,,)</f>
        <v>在“申报”选项卡 D73 单元格中，回答贵公司是否要求直接供应不使用来自刚果民主共和国的涉及冲突之冲突矿产</v>
      </c>
    </row>
    <row r="54" spans="1:12" ht="39">
      <c r="A54" s="105" t="str">
        <f ca="1">Declaration!B75</f>
        <v xml:space="preserve">D. 您是否要求您的直接供应商从其尽职调查实践已被被独立第三方审核机构验证过的冶炼厂采购 3TG？ </v>
      </c>
      <c r="B54" s="105" t="str">
        <f>Declaration!D75</f>
        <v>Yes</v>
      </c>
      <c r="C54" s="105" t="str">
        <f ca="1">IF(H54=1,J54,I54)</f>
        <v>填写</v>
      </c>
      <c r="D54" s="111" t="str">
        <f>IF(H54=1,"Click here to answer question (D)","")</f>
        <v/>
      </c>
      <c r="E54" s="87" t="s">
        <v>1437</v>
      </c>
      <c r="F54" s="110">
        <f t="shared" si="7"/>
        <v>0</v>
      </c>
      <c r="G54" s="84">
        <f t="shared" si="5"/>
        <v>0</v>
      </c>
      <c r="H54" s="85">
        <f t="shared" si="6"/>
        <v>0</v>
      </c>
      <c r="I54" s="181" t="str">
        <f ca="1">OFFSET(L!$C$1,MATCH("Checker"&amp;"Comp",L!$A:$A,0)-1,SL,,)</f>
        <v>填写</v>
      </c>
      <c r="J54" s="22" t="str">
        <f ca="1">OFFSET(L!$C$1,MATCH("Checker"&amp;ADDRESS(ROW(),COLUMN(),4),L!$A:$A,0)-1,SL,,)</f>
        <v>在“申报”选项卡 D75 单元格中，回答贵公司是否要求直接供应商从使用负责任矿物审验流程合规冶炼厂列表验证为刚果民主共和国无冲突的冲突矿产</v>
      </c>
    </row>
    <row r="55" spans="1:12" ht="39">
      <c r="A55" s="105" t="str">
        <f ca="1">Declaration!B77</f>
        <v>E. 贵公司是否已实施无冲突矿产采购的尽职调查措施？</v>
      </c>
      <c r="B55" s="105" t="str">
        <f>Declaration!D77</f>
        <v>Yes</v>
      </c>
      <c r="C55" s="105" t="str">
        <f t="shared" ca="1" si="3"/>
        <v>填写</v>
      </c>
      <c r="D55" s="111" t="str">
        <f>IF(H55=1,"Click here to answer question (E)","")</f>
        <v/>
      </c>
      <c r="E55" s="87" t="s">
        <v>1437</v>
      </c>
      <c r="F55" s="110">
        <f t="shared" si="7"/>
        <v>0</v>
      </c>
      <c r="G55" s="84">
        <f t="shared" si="5"/>
        <v>0</v>
      </c>
      <c r="H55" s="85">
        <f t="shared" si="6"/>
        <v>0</v>
      </c>
      <c r="I55" s="181" t="str">
        <f ca="1">OFFSET(L!$C$1,MATCH("Checker"&amp;"Comp",L!$A:$A,0)-1,SL,,)</f>
        <v>填写</v>
      </c>
      <c r="J55" s="22" t="str">
        <f ca="1">OFFSET(L!$C$1,MATCH("Checker"&amp;ADDRESS(ROW(),COLUMN(),4),L!$A:$A,0)-1,SL,,)</f>
        <v>在“申报”选项卡 D77 单元格中，回答贵公司是否已实施无冲突矿产采购尽职调查措施</v>
      </c>
    </row>
    <row r="56" spans="1:12" ht="39">
      <c r="A56" s="105" t="str">
        <f ca="1">Declaration!B79</f>
        <v>F. 贵公司是否开展了相关供应商的冲突矿产调查？</v>
      </c>
      <c r="B56" s="105" t="str">
        <f>Declaration!D79</f>
        <v>Yes, in conformance with IPC1755 (e.g., CMRT)</v>
      </c>
      <c r="C56" s="105" t="str">
        <f t="shared" ca="1" si="3"/>
        <v>填写</v>
      </c>
      <c r="D56" s="111" t="str">
        <f>IF(H56=1,"Click here to answer question (F)","")</f>
        <v/>
      </c>
      <c r="E56" s="87" t="s">
        <v>1437</v>
      </c>
      <c r="F56" s="110">
        <f t="shared" si="7"/>
        <v>0</v>
      </c>
      <c r="G56" s="84">
        <f t="shared" si="5"/>
        <v>0</v>
      </c>
      <c r="H56" s="85">
        <f t="shared" si="6"/>
        <v>0</v>
      </c>
      <c r="I56" s="181" t="str">
        <f ca="1">OFFSET(L!$C$1,MATCH("Checker"&amp;"Comp",L!$A:$A,0)-1,SL,,)</f>
        <v>填写</v>
      </c>
      <c r="J56" s="22" t="str">
        <f ca="1">OFFSET(L!$C$1,MATCH("Checker"&amp;ADDRESS(ROW(),COLUMN(),4),L!$A:$A,0)-1,SL,,)</f>
        <v>在“申报”选项卡 D79 单元格中，回答贵公司是否要求供应商填写此“冲突矿产报告模板”</v>
      </c>
    </row>
    <row r="57" spans="1:12" ht="15" hidden="1">
      <c r="A57" s="105"/>
      <c r="B57" s="105"/>
      <c r="C57" s="105"/>
      <c r="D57" s="111"/>
      <c r="E57" s="87"/>
      <c r="F57" s="110"/>
      <c r="G57" s="84"/>
      <c r="H57" s="85"/>
      <c r="I57" s="181"/>
    </row>
    <row r="58" spans="1:12" ht="39">
      <c r="A58" s="105" t="str">
        <f ca="1">Declaration!B81</f>
        <v>G. 贵公司是否根据公司期望来审查供应商提交的尽职调查信息？</v>
      </c>
      <c r="B58" s="105" t="str">
        <f>Declaration!D81</f>
        <v>Yes</v>
      </c>
      <c r="C58" s="105" t="str">
        <f t="shared" ca="1" si="3"/>
        <v>填写</v>
      </c>
      <c r="D58" s="111" t="str">
        <f>IF(H58=1,"Click here to answer question (G)","")</f>
        <v/>
      </c>
      <c r="E58" s="87" t="s">
        <v>1437</v>
      </c>
      <c r="F58" s="110">
        <f t="shared" si="7"/>
        <v>0</v>
      </c>
      <c r="G58" s="84">
        <f t="shared" si="5"/>
        <v>0</v>
      </c>
      <c r="H58" s="85">
        <f t="shared" si="6"/>
        <v>0</v>
      </c>
      <c r="I58" s="181" t="str">
        <f ca="1">OFFSET(L!$C$1,MATCH("Checker"&amp;"Comp",L!$A:$A,0)-1,SL,,)</f>
        <v>填写</v>
      </c>
      <c r="J58" s="22" t="str">
        <f ca="1">OFFSET(L!$C$1,MATCH("Checker"&amp;ADDRESS(ROW(),COLUMN(),4),L!$A:$A,0)-1,SL,,)</f>
        <v>在“申报”选项卡 D83 单元格中，回答贵公司是否根据贵公司的期望来验证供应商的回答</v>
      </c>
    </row>
    <row r="59" spans="1:12" ht="39">
      <c r="A59" s="105" t="str">
        <f ca="1">Declaration!B83</f>
        <v>H. 贵公司的验证程序是否包括纠正措施管理？</v>
      </c>
      <c r="B59" s="105" t="str">
        <f>Declaration!D83</f>
        <v>Yes</v>
      </c>
      <c r="C59" s="105" t="str">
        <f t="shared" ca="1" si="3"/>
        <v>填写</v>
      </c>
      <c r="D59" s="111" t="str">
        <f>IF(H59=1,"Click here to answer question (H)","")</f>
        <v/>
      </c>
      <c r="E59" s="87" t="s">
        <v>1437</v>
      </c>
      <c r="F59" s="110">
        <f t="shared" si="7"/>
        <v>0</v>
      </c>
      <c r="G59" s="84">
        <f t="shared" si="5"/>
        <v>0</v>
      </c>
      <c r="H59" s="85">
        <f t="shared" si="6"/>
        <v>0</v>
      </c>
      <c r="I59" s="181" t="str">
        <f ca="1">OFFSET(L!$C$1,MATCH("Checker"&amp;"Comp",L!$A:$A,0)-1,SL,,)</f>
        <v>填写</v>
      </c>
      <c r="J59" s="22" t="str">
        <f ca="1">OFFSET(L!$C$1,MATCH("Checker"&amp;ADDRESS(ROW(),COLUMN(),4),L!$A:$A,0)-1,SL,,)</f>
        <v>在“申报”选项卡 D85 单元格中，回答贵公司的验证流程是否包括纠正措施管理</v>
      </c>
    </row>
    <row r="60" spans="1:12" ht="39">
      <c r="A60" s="105" t="str">
        <f ca="1">Declaration!B85</f>
        <v>I. 贵公司是否需要向 SEC 提交年度冲突矿产披露报告？</v>
      </c>
      <c r="B60" s="105" t="str">
        <f>Declaration!D85</f>
        <v>No</v>
      </c>
      <c r="C60" s="105" t="str">
        <f t="shared" ca="1" si="3"/>
        <v>填写</v>
      </c>
      <c r="D60" s="111" t="str">
        <f>IF(H60=1,"Click here to answer question (I)","")</f>
        <v/>
      </c>
      <c r="E60" s="87" t="s">
        <v>1437</v>
      </c>
      <c r="F60" s="110">
        <f t="shared" si="7"/>
        <v>0</v>
      </c>
      <c r="G60" s="84">
        <f t="shared" si="5"/>
        <v>0</v>
      </c>
      <c r="H60" s="85">
        <f t="shared" si="6"/>
        <v>0</v>
      </c>
      <c r="I60" s="181" t="str">
        <f ca="1">OFFSET(L!$C$1,MATCH("Checker"&amp;"Comp",L!$A:$A,0)-1,SL,,)</f>
        <v>填写</v>
      </c>
      <c r="J60" s="22" t="str">
        <f ca="1">OFFSET(L!$C$1,MATCH("Checker"&amp;ADDRESS(ROW(),COLUMN(),4),L!$A:$A,0)-1,SL,,)</f>
        <v>在“申报”选项卡 D87 单元格中，回答贵公司是否需要遵守 SEC 披露要求</v>
      </c>
    </row>
    <row r="61" spans="1:12" ht="39">
      <c r="A61" s="106" t="s">
        <v>1385</v>
      </c>
      <c r="B61" s="105" t="str">
        <f>IF(G61=1,"No products or item numbers listed","One or more product / item numbers have been provided")</f>
        <v>No products or item numbers listed</v>
      </c>
      <c r="C61" s="105" t="str">
        <f t="shared" ca="1" si="3"/>
        <v>填写</v>
      </c>
      <c r="D61" s="111" t="str">
        <f>IF(H61=1,"Click here to enter detail on Product List tab","")</f>
        <v/>
      </c>
      <c r="E61" s="87" t="s">
        <v>1437</v>
      </c>
      <c r="F61" s="110">
        <f>IF(B5=Declaration!Q9,1,0)</f>
        <v>0</v>
      </c>
      <c r="G61" s="84">
        <f>IF('Product List'!B6="",1,0)</f>
        <v>1</v>
      </c>
      <c r="H61" s="85">
        <f t="shared" si="6"/>
        <v>0</v>
      </c>
      <c r="I61" s="181" t="str">
        <f ca="1">OFFSET(L!$C$1,MATCH("Checker"&amp;"Comp",L!$A:$A,0)-1,SL,,)</f>
        <v>填写</v>
      </c>
      <c r="J61" s="22" t="str">
        <f ca="1">OFFSET(L!$C$1,MATCH("Checker"&amp;ADDRESS(ROW(),COLUMN(),4),L!$A:$A,0)-1,SL,,)</f>
        <v>如果合适，提供此申报所适用的一个或多个产品或项目编号。从“申报”选项卡 6H1 单元格中，选择超链接进入“产品列表”选项卡</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List'!AB$5:AB$2493,"Tantalum?*")&gt;0),0,1)</f>
        <v>1</v>
      </c>
      <c r="H62" s="85">
        <f t="shared" si="6"/>
        <v>0</v>
      </c>
      <c r="I62" s="181" t="str">
        <f ca="1">OFFSET(L!$C$1,MATCH("Checker"&amp;"Comp",L!$A:$A,0)-1,SL,,)</f>
        <v>填写</v>
      </c>
      <c r="J62" s="22" t="str">
        <f ca="1">OFFSET(L!$C$1,MATCH("Checker"&amp;ADDRESS(ROW(),COLUMN(),4),L!$A:$A,0)-1,SL,,)</f>
        <v>在“冶炼厂目录”选项卡中，提供向供应链提供材料的钽冶炼厂列表</v>
      </c>
      <c r="K62" s="188">
        <f>IF(H15+H20&gt;0,1,0)</f>
        <v>0</v>
      </c>
      <c r="L62" s="22" t="str">
        <f ca="1">OFFSET(L!$C$1,MATCH("Checker"&amp;ADDRESS(ROW(),COLUMN(),4),L!$A:$A,0)-1,SL,,)</f>
        <v>请回答“申报”选项卡中的问题 1/问题 2</v>
      </c>
    </row>
    <row r="63" spans="1:12" ht="39">
      <c r="A63" s="105" t="s">
        <v>2117</v>
      </c>
      <c r="B63" s="105"/>
      <c r="C63" s="105" t="str">
        <f>IF(K63=1,L63,IF(B16="No","Not Required",IF(G63=0,I63,J63)))</f>
        <v>Not Required</v>
      </c>
      <c r="D63" s="111" t="str">
        <f>IF(H63=0,"","Click here to provide smelter information")</f>
        <v/>
      </c>
      <c r="E63" s="87" t="s">
        <v>918</v>
      </c>
      <c r="F63" s="110">
        <f>F26</f>
        <v>0</v>
      </c>
      <c r="G63" s="84">
        <f>IF(AND(COUNTIF(SmelterIdetifiedForMetal,"Tin")&gt;0,COUNTIF('Smelter List'!AB$5:AB$2493,"Tin?*")&gt;0),0,1)</f>
        <v>1</v>
      </c>
      <c r="H63" s="85">
        <f t="shared" si="6"/>
        <v>0</v>
      </c>
      <c r="I63" s="181" t="str">
        <f ca="1">OFFSET(L!$C$1,MATCH("Checker"&amp;"Comp",L!$A:$A,0)-1,SL,,)</f>
        <v>填写</v>
      </c>
      <c r="J63" s="22" t="str">
        <f ca="1">OFFSET(L!$C$1,MATCH("Checker"&amp;ADDRESS(ROW(),COLUMN(),4),L!$A:$A,0)-1,SL,,)</f>
        <v>在“冶炼厂目录”选项卡中，提供向供应链提供材料的锡冶炼厂列表</v>
      </c>
      <c r="K63" s="188">
        <f>IF(H16+H21&gt;0,1,0)</f>
        <v>0</v>
      </c>
      <c r="L63" s="22" t="str">
        <f ca="1">OFFSET(L!$C$1,MATCH("Checker"&amp;ADDRESS(ROW(),COLUMN(),4),L!$A:$A,0)-1,SL,,)</f>
        <v>请回答“申报”选项卡中的问题 1/问题 2</v>
      </c>
    </row>
    <row r="64" spans="1:12" ht="39">
      <c r="A64" s="105" t="s">
        <v>2118</v>
      </c>
      <c r="B64" s="105"/>
      <c r="C64" s="105" t="str">
        <f>IF(K64=1,L64,IF(B17="No","Not Required",IF(G64=0,I64,J64)))</f>
        <v>Not Required</v>
      </c>
      <c r="D64" s="111" t="str">
        <f>IF(H64=0,"","Click here to provide smelter information")</f>
        <v/>
      </c>
      <c r="E64" s="87" t="s">
        <v>918</v>
      </c>
      <c r="F64" s="110">
        <f>F27</f>
        <v>0</v>
      </c>
      <c r="G64" s="84">
        <f>IF(AND(COUNTIF(SmelterIdetifiedForMetal,"Gold")&gt;0,COUNTIF('Smelter List'!AB$5:AB$2493,"Gold?*")&gt;0),0,1)</f>
        <v>1</v>
      </c>
      <c r="H64" s="85">
        <f t="shared" si="6"/>
        <v>0</v>
      </c>
      <c r="I64" s="181" t="str">
        <f ca="1">OFFSET(L!$C$1,MATCH("Checker"&amp;"Comp",L!$A:$A,0)-1,SL,,)</f>
        <v>填写</v>
      </c>
      <c r="J64" s="22" t="str">
        <f ca="1">OFFSET(L!$C$1,MATCH("Checker"&amp;ADDRESS(ROW(),COLUMN(),4),L!$A:$A,0)-1,SL,,)</f>
        <v>在“冶炼厂目录”选项卡中，提供向供应链提供材料的金冶炼厂列表</v>
      </c>
      <c r="K64" s="188">
        <f>IF(H17+H22&gt;0,1,0)</f>
        <v>0</v>
      </c>
      <c r="L64" s="22" t="str">
        <f ca="1">OFFSET(L!$C$1,MATCH("Checker"&amp;ADDRESS(ROW(),COLUMN(),4),L!$A:$A,0)-1,SL,,)</f>
        <v>请回答“申报”选项卡中的问题 1/问题 2</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填写</v>
      </c>
      <c r="J65" s="22" t="str">
        <f ca="1">OFFSET(L!$C$1,MATCH("Checker"&amp;ADDRESS(ROW(),COLUMN(),4),L!$A:$A,0)-1,SL,,)</f>
        <v>在“冶炼厂目录”选项卡中，提供向供应链提供材料的钨冶炼厂列表</v>
      </c>
      <c r="K65" s="188">
        <f>IF(H18+H23&gt;0,1,0)</f>
        <v>0</v>
      </c>
      <c r="L65" s="22" t="str">
        <f ca="1">OFFSET(L!$C$1,MATCH("Checker"&amp;ADDRESS(ROW(),COLUMN(),4),L!$A:$A,0)-1,SL,,)</f>
        <v>请回答“申报”选项卡中的问题 1/问题 2</v>
      </c>
    </row>
    <row r="66" spans="1:12" ht="25.5">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填写</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0" t="str">
        <f ca="1">OFFSET(L!$C$1,MATCH("Product List"&amp;ADDRESS(ROW(),COLUMN(),4),L!$A:$A,0)-1,SL,,)</f>
        <v xml:space="preserve">如果“申报”工作表上选择的报告层面为“产品（或产品列表）”，才需要填写此项。 </v>
      </c>
      <c r="B1" s="441"/>
      <c r="C1" s="441"/>
      <c r="D1" s="441"/>
      <c r="E1" s="149"/>
    </row>
    <row r="2" spans="1:6">
      <c r="A2" s="29"/>
      <c r="B2" s="151"/>
      <c r="C2" s="151"/>
      <c r="D2"/>
      <c r="E2" s="30"/>
    </row>
    <row r="3" spans="1:6">
      <c r="A3" s="29"/>
      <c r="B3" s="151"/>
      <c r="C3" s="151"/>
      <c r="D3" s="151"/>
      <c r="E3" s="30"/>
    </row>
    <row r="4" spans="1:6" ht="15.75" customHeight="1">
      <c r="A4" s="29"/>
      <c r="B4" s="439" t="s">
        <v>1014</v>
      </c>
      <c r="C4" s="439"/>
      <c r="D4" s="439"/>
      <c r="E4" s="30"/>
    </row>
    <row r="5" spans="1:6" ht="31.5">
      <c r="A5" s="164"/>
      <c r="B5" s="166" t="str">
        <f ca="1">OFFSET(L!$C$1,MATCH("Product List"&amp;ADDRESS(ROW(),COLUMN(),4),L!$A:$A,0)-1,SL,,)</f>
        <v>制造商的产品序号 (*)</v>
      </c>
      <c r="C5" s="166" t="str">
        <f ca="1">OFFSET(L!$C$1,MATCH("Product List"&amp;ADDRESS(ROW(),COLUMN(),4),L!$A:$A,0)-1,SL,,)</f>
        <v>制造商的产品名称</v>
      </c>
      <c r="D5" s="88" t="str">
        <f ca="1">OFFSET(L!$C$1,MATCH("Product List"&amp;ADDRESS(ROW(),COLUMN(),4),L!$A:$A,0)-1,SL,,)</f>
        <v xml:space="preserve">
评论</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2" t="str">
        <f ca="1">OFFSET(L!$C$1,MATCH("General"&amp;"Cpy",L!$A:$A,0)-1,SL,,)</f>
        <v>© 2019 Responsible Minerals Initiative。保留所有权利。</v>
      </c>
      <c r="C1001" s="442"/>
      <c r="D1001" s="442"/>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4" customHeight="1">
      <c r="A1" s="443"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28" customFormat="1" ht="25.5">
      <c r="A4" s="227" t="str">
        <f ca="1">OFFSET(L!$C$1,MATCH("Smelter Look-up"&amp;ADDRESS(ROW(),COLUMN(),4),L!$A:$A,0)-1,SL,,)</f>
        <v>金属</v>
      </c>
      <c r="B4" s="227" t="str">
        <f ca="1">OFFSET(L!$C$1,MATCH("Smelter Look-up"&amp;ADDRESS(ROW(),COLUMN(),4),L!$A:$A,0)-1,SL,,)</f>
        <v>冶炼厂查找 (*)</v>
      </c>
      <c r="C4" s="227" t="str">
        <f ca="1">OFFSET(L!$C$1,MATCH("Smelter Look-up"&amp;ADDRESS(ROW(),COLUMN(),4),L!$A:$A,0)-1,SL,,)</f>
        <v>标准冶炼厂名称</v>
      </c>
      <c r="D4" s="227" t="str">
        <f ca="1">OFFSET(L!$C$1,MATCH("Smelter Look-up"&amp;ADDRESS(ROW(),COLUMN(),4),L!$A:$A,0)-1,SL,,)</f>
        <v>冶炼厂地址：国家或地区</v>
      </c>
      <c r="E4" s="227" t="str">
        <f ca="1">OFFSET(L!$C$1,MATCH("Smelter Look-up"&amp;ADDRESS(ROW(),COLUMN(),4),L!$A:$A,0)-1,SL,,)</f>
        <v>冶炼厂 ID</v>
      </c>
      <c r="F4" s="227" t="str">
        <f ca="1">OFFSET(L!$C$1,MATCH("Smelter Look-up"&amp;ADDRESS(ROW(),COLUMN(),4),L!$A:$A,0)-1,SL,,)</f>
        <v>冶炼厂出处识别号</v>
      </c>
      <c r="G4" s="227" t="str">
        <f ca="1">OFFSET(L!$C$1,MATCH("Smelter Look-up"&amp;ADDRESS(ROW(),COLUMN(),4),L!$A:$A,0)-1,SL,,)</f>
        <v>冶炼厂所在街道</v>
      </c>
      <c r="H4" s="227" t="str">
        <f ca="1">OFFSET(L!$C$1,MATCH("Smelter Look-up"&amp;ADDRESS(ROW(),COLUMN(),4),L!$A:$A,0)-1,SL,,)</f>
        <v>冶炼厂所在城市</v>
      </c>
      <c r="I4" s="227" t="str">
        <f ca="1">OFFSET(L!$C$1,MATCH("Smelter Look-up"&amp;ADDRESS(ROW(),COLUMN(),4),L!$A:$A,0)-1,SL,,)</f>
        <v>冶炼厂地址：州/省</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84.7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8.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48.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6.7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48.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8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84.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10">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90">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75.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70.5">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20">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2.7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8.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4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7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56.7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27.75">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7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8.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42.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7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42.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28.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42">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6.7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8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70.7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07">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99.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0">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7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8.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8.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8.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2.7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8.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2.7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7">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2.7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2.7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2.7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2.7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2.7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2.7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2.7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8.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85.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mina_</cp:lastModifiedBy>
  <cp:lastPrinted>2015-04-21T20:47:43Z</cp:lastPrinted>
  <dcterms:created xsi:type="dcterms:W3CDTF">2010-06-21T21:00:23Z</dcterms:created>
  <dcterms:modified xsi:type="dcterms:W3CDTF">2020-03-16T07:21:55Z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